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VN\MODEL\trunk\Sumo\Process code\Tools\"/>
    </mc:Choice>
  </mc:AlternateContent>
  <xr:revisionPtr revIDLastSave="0" documentId="13_ncr:1_{471EB066-6591-4A93-B628-72239428A97E}" xr6:coauthVersionLast="47" xr6:coauthVersionMax="47" xr10:uidLastSave="{00000000-0000-0000-0000-000000000000}"/>
  <bookViews>
    <workbookView xWindow="28702" yWindow="-98" windowWidth="28995" windowHeight="15945" xr2:uid="{6BA8C077-1B9A-4518-A4BD-D00451C1CB32}"/>
  </bookViews>
  <sheets>
    <sheet name="Help" sheetId="4" r:id="rId1"/>
    <sheet name="Curve generation" sheetId="5" r:id="rId2"/>
    <sheet name="Pumpcalibration" sheetId="6" r:id="rId3"/>
    <sheet name="Sumo forms" sheetId="3" r:id="rId4"/>
    <sheet name="Parameter" sheetId="2" state="hidden" r:id="rId5"/>
  </sheets>
  <definedNames>
    <definedName name="bpk">Parameter!$L$50</definedName>
    <definedName name="cpa" comment="heat air" localSheetId="1">Parameter!$D$19</definedName>
    <definedName name="cpa" comment="heat air">Parameter!$D$19</definedName>
    <definedName name="cpw" comment="heat water" localSheetId="1">Parameter!$D$12</definedName>
    <definedName name="cpw">Parameter!$D$12</definedName>
    <definedName name="da" comment="density air (N)" localSheetId="1">Parameter!$D$16</definedName>
    <definedName name="da">Parameter!$D$16</definedName>
    <definedName name="dva" comment="dynamic viscosity air" localSheetId="1">Parameter!$D$17</definedName>
    <definedName name="dva">Parameter!$D$17</definedName>
    <definedName name="dvw" comment="dynamic viscosity water" localSheetId="1">Parameter!$D$10</definedName>
    <definedName name="dvw">Parameter!$D$10</definedName>
    <definedName name="dw" localSheetId="1">Parameter!$D$9</definedName>
    <definedName name="dw">Parameter!$D$9</definedName>
    <definedName name="fpm">Parameter!$L$48</definedName>
    <definedName name="g" localSheetId="1">Parameter!$D$2</definedName>
    <definedName name="g">Parameter!$D$2</definedName>
    <definedName name="gamma" comment="water surface tension">Parameter!$D$13</definedName>
    <definedName name="gpl">Parameter!$L$43</definedName>
    <definedName name="ho">Parameter!$D$43</definedName>
    <definedName name="hpk">Parameter!$L$46</definedName>
    <definedName name="hu" localSheetId="1">Parameter!$D$44</definedName>
    <definedName name="hu">Parameter!$D$44</definedName>
    <definedName name="kpb">Parameter!$L$51</definedName>
    <definedName name="kph">Parameter!$L$47</definedName>
    <definedName name="kpl">Parameter!$L$45</definedName>
    <definedName name="kva" comment="kinematic viscosity air">Parameter!$D$18</definedName>
    <definedName name="kvw" comment="kinematic viscosity water" localSheetId="1">Parameter!$D$11</definedName>
    <definedName name="kvw" comment="kinematic viscosity water">Parameter!$D$11</definedName>
    <definedName name="lpg">Parameter!$L$42</definedName>
    <definedName name="lpk">Parameter!$L$44</definedName>
    <definedName name="M_Ar" localSheetId="1">Parameter!$D$60</definedName>
    <definedName name="M_Ar">Parameter!$D$60</definedName>
    <definedName name="M_C">Parameter!$D$51</definedName>
    <definedName name="M_Ca2">Parameter!$D$59</definedName>
    <definedName name="M_CH4">Parameter!$D$53</definedName>
    <definedName name="M_CO2">Parameter!$D$55</definedName>
    <definedName name="M_Fe">Parameter!$D$49</definedName>
    <definedName name="M_Fe_OH_3">Parameter!$D$58</definedName>
    <definedName name="M_Fe2_SO4_3">Parameter!$D$56</definedName>
    <definedName name="M_FePO4">Parameter!$D$57</definedName>
    <definedName name="M_H">Parameter!$D$52</definedName>
    <definedName name="M_H2O" localSheetId="1">Parameter!$D$54</definedName>
    <definedName name="M_H2O">Parameter!$D$54</definedName>
    <definedName name="M_N">Parameter!$D$46</definedName>
    <definedName name="M_N2" localSheetId="1">Parameter!$D$61</definedName>
    <definedName name="M_N2">Parameter!$D$61</definedName>
    <definedName name="M_O">Parameter!$D$48</definedName>
    <definedName name="M_O2" localSheetId="1">Parameter!$D$62</definedName>
    <definedName name="M_O2">Parameter!$D$62</definedName>
    <definedName name="M_P">Parameter!$D$47</definedName>
    <definedName name="M_S">Parameter!$D$50</definedName>
    <definedName name="mpf">Parameter!$L$49</definedName>
    <definedName name="p0" comment="airpressure (N)" localSheetId="1">Parameter!$D$3</definedName>
    <definedName name="p0">Parameter!$D$3</definedName>
    <definedName name="Ra" comment="gas constant air" localSheetId="1">Parameter!$D$20</definedName>
    <definedName name="Ra">Parameter!$D$20</definedName>
    <definedName name="Ri" comment="molar gas constant" localSheetId="1">Parameter!$D$5</definedName>
    <definedName name="Ri" comment="molar gas constant">Parameter!$D$5</definedName>
    <definedName name="T0" comment="temperature (N)" localSheetId="1">Parameter!$D$4</definedName>
    <definedName name="T0">Parameter!$D$4</definedName>
    <definedName name="Tst" localSheetId="1">Parameter!$D$6</definedName>
    <definedName name="Tst">Parameter!$D$6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0" i="6" l="1"/>
  <c r="AA2" i="5" l="1"/>
  <c r="AB10" i="6"/>
  <c r="E32" i="5"/>
  <c r="D32" i="5"/>
  <c r="D20" i="5"/>
  <c r="E20" i="5"/>
  <c r="C20" i="5"/>
  <c r="C32" i="5" s="1"/>
  <c r="C9" i="6"/>
  <c r="E6" i="5"/>
  <c r="D6" i="5"/>
  <c r="C6" i="5"/>
  <c r="H27" i="3" l="1"/>
  <c r="F27" i="3"/>
  <c r="D27" i="3"/>
  <c r="F11" i="3"/>
  <c r="H11" i="3"/>
  <c r="F13" i="3"/>
  <c r="H13" i="3"/>
  <c r="F18" i="3"/>
  <c r="H18" i="3"/>
  <c r="F19" i="3"/>
  <c r="H19" i="3"/>
  <c r="F20" i="3"/>
  <c r="H20" i="3"/>
  <c r="F26" i="3"/>
  <c r="H26" i="3"/>
  <c r="D13" i="3"/>
  <c r="D19" i="3"/>
  <c r="D26" i="3"/>
  <c r="D52" i="3"/>
  <c r="D55" i="3"/>
  <c r="D54" i="3"/>
  <c r="C63" i="6"/>
  <c r="C64" i="6" s="1"/>
  <c r="AA11" i="6" l="1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10" i="6"/>
  <c r="C6" i="6"/>
  <c r="C46" i="6" s="1"/>
  <c r="C47" i="6" l="1"/>
  <c r="AC10" i="6"/>
  <c r="C90" i="6"/>
  <c r="D51" i="3"/>
  <c r="D46" i="3"/>
  <c r="D45" i="3"/>
  <c r="D43" i="3"/>
  <c r="D42" i="3"/>
  <c r="D40" i="3"/>
  <c r="D39" i="3"/>
  <c r="D33" i="3"/>
  <c r="C21" i="6"/>
  <c r="D90" i="6"/>
  <c r="AG40" i="6"/>
  <c r="AG35" i="6"/>
  <c r="E21" i="6"/>
  <c r="E19" i="6"/>
  <c r="E20" i="6" s="1"/>
  <c r="E17" i="6" s="1"/>
  <c r="D21" i="6"/>
  <c r="D19" i="6"/>
  <c r="C19" i="6"/>
  <c r="C20" i="6" s="1"/>
  <c r="C17" i="6" s="1"/>
  <c r="D41" i="3" s="1"/>
  <c r="D47" i="3" l="1"/>
  <c r="AH33" i="6"/>
  <c r="AH41" i="6" s="1"/>
  <c r="AI33" i="6"/>
  <c r="AI32" i="6" s="1"/>
  <c r="AJ33" i="6"/>
  <c r="AJ35" i="6" s="1"/>
  <c r="AG36" i="6"/>
  <c r="D20" i="6"/>
  <c r="AI35" i="6" l="1"/>
  <c r="AI41" i="6"/>
  <c r="AI36" i="6"/>
  <c r="AH35" i="6"/>
  <c r="AH32" i="6"/>
  <c r="AJ32" i="6"/>
  <c r="AI40" i="6"/>
  <c r="C65" i="6"/>
  <c r="C66" i="6"/>
  <c r="AJ40" i="6"/>
  <c r="AG37" i="6"/>
  <c r="AG38" i="6" s="1"/>
  <c r="AG39" i="6" s="1"/>
  <c r="AI39" i="6" s="1"/>
  <c r="AH36" i="6"/>
  <c r="AH40" i="6"/>
  <c r="AJ36" i="6"/>
  <c r="AJ41" i="6"/>
  <c r="D17" i="6"/>
  <c r="D44" i="3" l="1"/>
  <c r="C71" i="6"/>
  <c r="C67" i="6"/>
  <c r="Z30" i="6"/>
  <c r="AB30" i="6" s="1"/>
  <c r="AH38" i="6"/>
  <c r="AH37" i="6"/>
  <c r="AI38" i="6"/>
  <c r="AI37" i="6"/>
  <c r="AJ39" i="6"/>
  <c r="AH39" i="6"/>
  <c r="AJ38" i="6"/>
  <c r="AJ37" i="6"/>
  <c r="E53" i="6"/>
  <c r="D53" i="3" s="1"/>
  <c r="AC30" i="6" l="1"/>
  <c r="AD30" i="6"/>
  <c r="Z11" i="6"/>
  <c r="C72" i="6"/>
  <c r="D53" i="6"/>
  <c r="H14" i="3"/>
  <c r="H5" i="3"/>
  <c r="F5" i="3"/>
  <c r="E42" i="5"/>
  <c r="E33" i="5"/>
  <c r="H15" i="3" s="1"/>
  <c r="E36" i="5"/>
  <c r="H17" i="3" s="1"/>
  <c r="E25" i="5"/>
  <c r="D42" i="5"/>
  <c r="D33" i="5"/>
  <c r="F15" i="3" s="1"/>
  <c r="D36" i="5"/>
  <c r="D25" i="5"/>
  <c r="C36" i="5"/>
  <c r="C40" i="5" s="1"/>
  <c r="C25" i="5"/>
  <c r="C33" i="5"/>
  <c r="C29" i="5" s="1"/>
  <c r="C42" i="5"/>
  <c r="D20" i="3"/>
  <c r="D18" i="3"/>
  <c r="D11" i="3"/>
  <c r="D5" i="3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Z3" i="5"/>
  <c r="Z2" i="5"/>
  <c r="AB2" i="5" s="1"/>
  <c r="E74" i="2"/>
  <c r="D46" i="2"/>
  <c r="D74" i="2"/>
  <c r="D73" i="2"/>
  <c r="D48" i="2"/>
  <c r="D71" i="2"/>
  <c r="D51" i="2"/>
  <c r="D55" i="2"/>
  <c r="D70" i="2"/>
  <c r="D52" i="2"/>
  <c r="D53" i="2"/>
  <c r="D69" i="2"/>
  <c r="D68" i="2"/>
  <c r="D62" i="2"/>
  <c r="C62" i="2"/>
  <c r="D61" i="2"/>
  <c r="C61" i="2"/>
  <c r="C60" i="2"/>
  <c r="D59" i="2"/>
  <c r="C59" i="2"/>
  <c r="D49" i="2"/>
  <c r="D58" i="2"/>
  <c r="C58" i="2"/>
  <c r="D47" i="2"/>
  <c r="D57" i="2"/>
  <c r="C57" i="2"/>
  <c r="D56" i="2"/>
  <c r="C56" i="2"/>
  <c r="C55" i="2"/>
  <c r="D54" i="2"/>
  <c r="C54" i="2"/>
  <c r="C53" i="2"/>
  <c r="C52" i="2"/>
  <c r="C51" i="2"/>
  <c r="L50" i="2"/>
  <c r="L48" i="2"/>
  <c r="L46" i="2"/>
  <c r="L45" i="2"/>
  <c r="E44" i="2"/>
  <c r="L43" i="2"/>
  <c r="D35" i="2"/>
  <c r="D33" i="2"/>
  <c r="D34" i="2"/>
  <c r="D17" i="2"/>
  <c r="D16" i="2"/>
  <c r="D18" i="2"/>
  <c r="D13" i="2"/>
  <c r="D11" i="2"/>
  <c r="D6" i="2"/>
  <c r="AB11" i="6" l="1"/>
  <c r="AC11" i="6" s="1"/>
  <c r="D67" i="5"/>
  <c r="F24" i="3" s="1"/>
  <c r="C67" i="5"/>
  <c r="D24" i="3" s="1"/>
  <c r="E67" i="5"/>
  <c r="H24" i="3" s="1"/>
  <c r="E29" i="5"/>
  <c r="H12" i="3" s="1"/>
  <c r="D12" i="3"/>
  <c r="C46" i="5"/>
  <c r="D29" i="5"/>
  <c r="F12" i="3" s="1"/>
  <c r="E24" i="5"/>
  <c r="E40" i="5"/>
  <c r="E54" i="5" s="1"/>
  <c r="F17" i="3"/>
  <c r="D15" i="3"/>
  <c r="C73" i="6"/>
  <c r="C93" i="6" s="1"/>
  <c r="Z12" i="6"/>
  <c r="AD11" i="6"/>
  <c r="C74" i="6"/>
  <c r="D48" i="3"/>
  <c r="D54" i="6"/>
  <c r="C84" i="6" s="1"/>
  <c r="D14" i="3"/>
  <c r="D40" i="5"/>
  <c r="D54" i="5" s="1"/>
  <c r="F14" i="3"/>
  <c r="C24" i="5"/>
  <c r="Y17" i="5" s="1"/>
  <c r="AA17" i="5" s="1"/>
  <c r="C54" i="5"/>
  <c r="D24" i="5"/>
  <c r="D17" i="3"/>
  <c r="AB12" i="6" l="1"/>
  <c r="AC12" i="6" s="1"/>
  <c r="E46" i="5"/>
  <c r="E47" i="5" s="1"/>
  <c r="E49" i="5" s="1"/>
  <c r="D46" i="5"/>
  <c r="D47" i="5" s="1"/>
  <c r="D48" i="5" s="1"/>
  <c r="C91" i="6"/>
  <c r="C75" i="6"/>
  <c r="C92" i="6" s="1"/>
  <c r="AD12" i="6"/>
  <c r="AE10" i="6"/>
  <c r="AE11" i="6"/>
  <c r="AE12" i="6"/>
  <c r="Z13" i="6"/>
  <c r="AE30" i="6"/>
  <c r="C94" i="6"/>
  <c r="C83" i="6"/>
  <c r="C42" i="6"/>
  <c r="AH10" i="6" s="1"/>
  <c r="D49" i="3"/>
  <c r="C54" i="6"/>
  <c r="D56" i="6"/>
  <c r="E55" i="5"/>
  <c r="E57" i="5" s="1"/>
  <c r="E58" i="5" s="1"/>
  <c r="AB17" i="5"/>
  <c r="Y3" i="5"/>
  <c r="AA3" i="5" s="1"/>
  <c r="C47" i="5"/>
  <c r="D55" i="5"/>
  <c r="D57" i="5" s="1"/>
  <c r="D58" i="5" s="1"/>
  <c r="C55" i="5"/>
  <c r="C57" i="5" s="1"/>
  <c r="C58" i="5" s="1"/>
  <c r="AE13" i="6" l="1"/>
  <c r="AB13" i="6"/>
  <c r="AC13" i="6" s="1"/>
  <c r="E48" i="5"/>
  <c r="E50" i="5" s="1"/>
  <c r="H21" i="3" s="1"/>
  <c r="D41" i="5"/>
  <c r="D49" i="5"/>
  <c r="D50" i="5" s="1"/>
  <c r="D69" i="5" s="1"/>
  <c r="F25" i="3" s="1"/>
  <c r="Z14" i="6"/>
  <c r="AD13" i="6"/>
  <c r="AF30" i="6"/>
  <c r="AF10" i="6"/>
  <c r="AF11" i="6"/>
  <c r="AF12" i="6"/>
  <c r="AF13" i="6"/>
  <c r="E83" i="6"/>
  <c r="D57" i="6"/>
  <c r="D59" i="6"/>
  <c r="E54" i="6"/>
  <c r="C34" i="5"/>
  <c r="D16" i="3" s="1"/>
  <c r="D21" i="5"/>
  <c r="D22" i="5" s="1"/>
  <c r="E21" i="5"/>
  <c r="E22" i="5" s="1"/>
  <c r="E34" i="5"/>
  <c r="H16" i="3" s="1"/>
  <c r="AE3" i="5"/>
  <c r="AB3" i="5"/>
  <c r="Y4" i="5"/>
  <c r="AA4" i="5" s="1"/>
  <c r="C21" i="5"/>
  <c r="C22" i="5" s="1"/>
  <c r="C49" i="5"/>
  <c r="C48" i="5"/>
  <c r="D34" i="5"/>
  <c r="F16" i="3" s="1"/>
  <c r="AE17" i="5"/>
  <c r="AE2" i="5"/>
  <c r="AE14" i="6" l="1"/>
  <c r="AB14" i="6"/>
  <c r="AC14" i="6" s="1"/>
  <c r="E41" i="5"/>
  <c r="D66" i="5"/>
  <c r="F23" i="3" s="1"/>
  <c r="F21" i="3"/>
  <c r="E69" i="5"/>
  <c r="Z15" i="6"/>
  <c r="AF14" i="6"/>
  <c r="AD14" i="6"/>
  <c r="D58" i="6"/>
  <c r="D55" i="6" s="1"/>
  <c r="D50" i="3" s="1"/>
  <c r="E90" i="6"/>
  <c r="AH30" i="6"/>
  <c r="AH11" i="6"/>
  <c r="AH12" i="6"/>
  <c r="AH13" i="6"/>
  <c r="AH14" i="6"/>
  <c r="C38" i="6"/>
  <c r="AC4" i="5"/>
  <c r="AE4" i="5"/>
  <c r="AB4" i="5"/>
  <c r="Y5" i="5"/>
  <c r="AA5" i="5" s="1"/>
  <c r="C41" i="5"/>
  <c r="AC3" i="5"/>
  <c r="AG3" i="5" s="1"/>
  <c r="C50" i="5"/>
  <c r="C69" i="5" s="1"/>
  <c r="AC2" i="5"/>
  <c r="AC17" i="5"/>
  <c r="AE15" i="6" l="1"/>
  <c r="AB15" i="6"/>
  <c r="AC15" i="6" s="1"/>
  <c r="D74" i="5"/>
  <c r="D75" i="5" s="1"/>
  <c r="H25" i="3"/>
  <c r="E66" i="5"/>
  <c r="AG4" i="5"/>
  <c r="Z16" i="6"/>
  <c r="AF16" i="6" s="1"/>
  <c r="AD15" i="6"/>
  <c r="AH15" i="6"/>
  <c r="AF15" i="6"/>
  <c r="C37" i="6"/>
  <c r="C79" i="6"/>
  <c r="C80" i="6" s="1"/>
  <c r="C66" i="5"/>
  <c r="C74" i="5" s="1"/>
  <c r="D25" i="3"/>
  <c r="AD3" i="5"/>
  <c r="AD17" i="5"/>
  <c r="AD2" i="5"/>
  <c r="AC5" i="5"/>
  <c r="AE5" i="5"/>
  <c r="AD5" i="5"/>
  <c r="AB5" i="5"/>
  <c r="Y6" i="5"/>
  <c r="AA6" i="5" s="1"/>
  <c r="D21" i="3"/>
  <c r="AD4" i="5"/>
  <c r="AE16" i="6" l="1"/>
  <c r="AB16" i="6"/>
  <c r="AC16" i="6" s="1"/>
  <c r="E74" i="5"/>
  <c r="E75" i="5" s="1"/>
  <c r="H23" i="3"/>
  <c r="AH16" i="6"/>
  <c r="Z17" i="6"/>
  <c r="AD16" i="6"/>
  <c r="C81" i="6"/>
  <c r="AG10" i="6" s="1"/>
  <c r="C85" i="6"/>
  <c r="AG5" i="5"/>
  <c r="AC6" i="5"/>
  <c r="AE6" i="5"/>
  <c r="AB6" i="5"/>
  <c r="AD6" i="5"/>
  <c r="Y7" i="5"/>
  <c r="AA7" i="5" s="1"/>
  <c r="D23" i="3"/>
  <c r="C75" i="5"/>
  <c r="AF5" i="5" s="1"/>
  <c r="AE17" i="6" l="1"/>
  <c r="AB17" i="6"/>
  <c r="AC17" i="6" s="1"/>
  <c r="AG6" i="5"/>
  <c r="AH17" i="6"/>
  <c r="AF17" i="6"/>
  <c r="Z18" i="6"/>
  <c r="AD17" i="6"/>
  <c r="D91" i="6"/>
  <c r="E91" i="6" s="1"/>
  <c r="E85" i="6"/>
  <c r="AG11" i="6"/>
  <c r="D93" i="6"/>
  <c r="E93" i="6" s="1"/>
  <c r="AG16" i="6"/>
  <c r="AG15" i="6"/>
  <c r="D94" i="6"/>
  <c r="E94" i="6" s="1"/>
  <c r="AG13" i="6"/>
  <c r="AG12" i="6"/>
  <c r="AG17" i="6"/>
  <c r="C86" i="6"/>
  <c r="D92" i="6" s="1"/>
  <c r="E92" i="6" s="1"/>
  <c r="AG14" i="6"/>
  <c r="AG30" i="6"/>
  <c r="AC7" i="5"/>
  <c r="AE7" i="5"/>
  <c r="AB7" i="5"/>
  <c r="AF7" i="5"/>
  <c r="AD7" i="5"/>
  <c r="Y8" i="5"/>
  <c r="AA8" i="5" s="1"/>
  <c r="AF6" i="5"/>
  <c r="AF4" i="5"/>
  <c r="AF3" i="5"/>
  <c r="AF17" i="5"/>
  <c r="AF2" i="5"/>
  <c r="AE18" i="6" l="1"/>
  <c r="AB18" i="6"/>
  <c r="AC18" i="6" s="1"/>
  <c r="AG7" i="5"/>
  <c r="Z19" i="6"/>
  <c r="AG18" i="6"/>
  <c r="AH18" i="6"/>
  <c r="AD18" i="6"/>
  <c r="AF18" i="6"/>
  <c r="C43" i="6"/>
  <c r="AC8" i="5"/>
  <c r="AE8" i="5"/>
  <c r="AD8" i="5"/>
  <c r="AF8" i="5"/>
  <c r="AB8" i="5"/>
  <c r="Y9" i="5"/>
  <c r="AA9" i="5" s="1"/>
  <c r="AE19" i="6" l="1"/>
  <c r="AB19" i="6"/>
  <c r="AC19" i="6" s="1"/>
  <c r="Z20" i="6"/>
  <c r="AG20" i="6" s="1"/>
  <c r="AD19" i="6"/>
  <c r="AF19" i="6"/>
  <c r="AG19" i="6"/>
  <c r="AH19" i="6"/>
  <c r="C44" i="6"/>
  <c r="C45" i="6" s="1"/>
  <c r="AG8" i="5"/>
  <c r="AC9" i="5"/>
  <c r="AE9" i="5"/>
  <c r="AB9" i="5"/>
  <c r="AF9" i="5"/>
  <c r="AD9" i="5"/>
  <c r="Y10" i="5"/>
  <c r="AA10" i="5" s="1"/>
  <c r="Z21" i="6" l="1"/>
  <c r="AE21" i="6" s="1"/>
  <c r="AE20" i="6"/>
  <c r="AB20" i="6"/>
  <c r="AC20" i="6" s="1"/>
  <c r="AH20" i="6"/>
  <c r="AD20" i="6"/>
  <c r="AF20" i="6"/>
  <c r="AG9" i="5"/>
  <c r="C48" i="6"/>
  <c r="AC10" i="5"/>
  <c r="AE10" i="5"/>
  <c r="AD10" i="5"/>
  <c r="AF10" i="5"/>
  <c r="AB10" i="5"/>
  <c r="Y11" i="5"/>
  <c r="AA11" i="5" s="1"/>
  <c r="AH21" i="6" l="1"/>
  <c r="AB21" i="6"/>
  <c r="AC21" i="6" s="1"/>
  <c r="AF21" i="6"/>
  <c r="Z22" i="6"/>
  <c r="AD22" i="6" s="1"/>
  <c r="AD21" i="6"/>
  <c r="AG21" i="6"/>
  <c r="AG10" i="5"/>
  <c r="AI20" i="6"/>
  <c r="AJ20" i="6" s="1"/>
  <c r="C49" i="6"/>
  <c r="AI16" i="6"/>
  <c r="AJ16" i="6" s="1"/>
  <c r="AI13" i="6"/>
  <c r="AJ13" i="6" s="1"/>
  <c r="AI12" i="6"/>
  <c r="AJ12" i="6" s="1"/>
  <c r="AI11" i="6"/>
  <c r="AJ11" i="6" s="1"/>
  <c r="AI30" i="6"/>
  <c r="AJ30" i="6" s="1"/>
  <c r="AI18" i="6"/>
  <c r="AJ18" i="6" s="1"/>
  <c r="AI14" i="6"/>
  <c r="AJ14" i="6" s="1"/>
  <c r="AI15" i="6"/>
  <c r="AJ15" i="6" s="1"/>
  <c r="AI19" i="6"/>
  <c r="AJ19" i="6" s="1"/>
  <c r="AI21" i="6"/>
  <c r="AI17" i="6"/>
  <c r="AJ17" i="6" s="1"/>
  <c r="AI10" i="6"/>
  <c r="AJ10" i="6" s="1"/>
  <c r="AC11" i="5"/>
  <c r="AE11" i="5"/>
  <c r="AB11" i="5"/>
  <c r="AF11" i="5"/>
  <c r="AD11" i="5"/>
  <c r="Y12" i="5"/>
  <c r="AA12" i="5" s="1"/>
  <c r="AJ21" i="6" l="1"/>
  <c r="AH22" i="6"/>
  <c r="AB22" i="6"/>
  <c r="AC22" i="6" s="1"/>
  <c r="AE22" i="6"/>
  <c r="AI22" i="6"/>
  <c r="Z23" i="6"/>
  <c r="AF23" i="6" s="1"/>
  <c r="AG22" i="6"/>
  <c r="AF22" i="6"/>
  <c r="AG11" i="5"/>
  <c r="AC12" i="5"/>
  <c r="AE12" i="5"/>
  <c r="AD12" i="5"/>
  <c r="AB12" i="5"/>
  <c r="AF12" i="5"/>
  <c r="Y13" i="5"/>
  <c r="AA13" i="5" s="1"/>
  <c r="AJ22" i="6" l="1"/>
  <c r="Z24" i="6"/>
  <c r="AI24" i="6" s="1"/>
  <c r="AG23" i="6"/>
  <c r="AE23" i="6"/>
  <c r="AI23" i="6"/>
  <c r="AD23" i="6"/>
  <c r="AB23" i="6"/>
  <c r="AC23" i="6" s="1"/>
  <c r="AH23" i="6"/>
  <c r="AG12" i="5"/>
  <c r="AC13" i="5"/>
  <c r="AE13" i="5"/>
  <c r="AB13" i="5"/>
  <c r="AF13" i="5"/>
  <c r="AD13" i="5"/>
  <c r="Y14" i="5"/>
  <c r="AA14" i="5" s="1"/>
  <c r="AJ23" i="6" l="1"/>
  <c r="AD24" i="6"/>
  <c r="AB24" i="6"/>
  <c r="AC24" i="6" s="1"/>
  <c r="AH24" i="6"/>
  <c r="AF24" i="6"/>
  <c r="AG24" i="6"/>
  <c r="Z25" i="6"/>
  <c r="AD25" i="6" s="1"/>
  <c r="AE24" i="6"/>
  <c r="AG13" i="5"/>
  <c r="AC14" i="5"/>
  <c r="AE14" i="5"/>
  <c r="AD14" i="5"/>
  <c r="AF14" i="5"/>
  <c r="AB14" i="5"/>
  <c r="Y15" i="5"/>
  <c r="AA15" i="5" s="1"/>
  <c r="AJ24" i="6" l="1"/>
  <c r="AF25" i="6"/>
  <c r="Z26" i="6"/>
  <c r="AD26" i="6" s="1"/>
  <c r="AB25" i="6"/>
  <c r="AC25" i="6" s="1"/>
  <c r="AH25" i="6"/>
  <c r="AE25" i="6"/>
  <c r="AI25" i="6"/>
  <c r="AG25" i="6"/>
  <c r="AG14" i="5"/>
  <c r="AF26" i="6"/>
  <c r="AH26" i="6"/>
  <c r="Z27" i="6"/>
  <c r="AC15" i="5"/>
  <c r="AE15" i="5"/>
  <c r="AB15" i="5"/>
  <c r="AF15" i="5"/>
  <c r="AD15" i="5"/>
  <c r="Y16" i="5"/>
  <c r="AA16" i="5" s="1"/>
  <c r="AJ25" i="6" l="1"/>
  <c r="AB26" i="6"/>
  <c r="AC26" i="6" s="1"/>
  <c r="AE26" i="6"/>
  <c r="AG26" i="6"/>
  <c r="AI26" i="6"/>
  <c r="AE27" i="6"/>
  <c r="AB27" i="6"/>
  <c r="AC27" i="6" s="1"/>
  <c r="AG15" i="5"/>
  <c r="AJ26" i="6"/>
  <c r="AF27" i="6"/>
  <c r="AD27" i="6"/>
  <c r="AI27" i="6"/>
  <c r="AH27" i="6"/>
  <c r="AG27" i="6"/>
  <c r="Z28" i="6"/>
  <c r="AC16" i="5"/>
  <c r="AE16" i="5"/>
  <c r="AB16" i="5"/>
  <c r="AD16" i="5"/>
  <c r="AF16" i="5"/>
  <c r="AE28" i="6" l="1"/>
  <c r="AB28" i="6"/>
  <c r="AC28" i="6" s="1"/>
  <c r="AJ27" i="6"/>
  <c r="AG16" i="5"/>
  <c r="AF28" i="6"/>
  <c r="AD28" i="6"/>
  <c r="AI28" i="6"/>
  <c r="AH28" i="6"/>
  <c r="AG28" i="6"/>
  <c r="Z29" i="6"/>
  <c r="AE29" i="6" l="1"/>
  <c r="AB29" i="6"/>
  <c r="AC29" i="6" s="1"/>
  <c r="AJ28" i="6"/>
  <c r="AF29" i="6"/>
  <c r="AI29" i="6"/>
  <c r="AH29" i="6"/>
  <c r="AG29" i="6"/>
  <c r="AD29" i="6"/>
  <c r="AJ2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peter.aichinger</author>
  </authors>
  <commentList>
    <comment ref="C84" authorId="0" shapeId="0" xr:uid="{CE643026-EEEB-4C56-8075-023C6622A711}">
      <text>
        <r>
          <rPr>
            <b/>
            <sz val="9"/>
            <color indexed="81"/>
            <rFont val="Tahoma"/>
            <family val="2"/>
          </rPr>
          <t>peter.aichinger:</t>
        </r>
        <r>
          <rPr>
            <sz val="9"/>
            <color indexed="81"/>
            <rFont val="Tahoma"/>
            <family val="2"/>
          </rPr>
          <t xml:space="preserve">
YH is now no longer calculated using the C coefficient, but using the maximum of the original function.
In the case of special curves, the C coordinate can already be very small, since approximation is only possible in the higher Q range.
This means that at 100% turndown the C coordinate 0 will still be able to reach operating points. But that is implausible; when the pump is stopped, no flow is possible. Therefore, the maximum (and not the Y intersection) is moved to the origin.
YH now refers to the maximum. Problems only arise if the maximum is exactly (!) In the zero point (Q).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peter.aichinger</author>
  </authors>
  <commentList>
    <comment ref="D33" authorId="0" shapeId="0" xr:uid="{C899EAA4-3CAF-4B90-A50A-EDFFE54800A6}">
      <text>
        <r>
          <rPr>
            <b/>
            <sz val="9"/>
            <color indexed="81"/>
            <rFont val="Tahoma"/>
            <family val="2"/>
          </rPr>
          <t>peter.aichinger:</t>
        </r>
        <r>
          <rPr>
            <sz val="9"/>
            <color indexed="81"/>
            <rFont val="Tahoma"/>
            <family val="2"/>
          </rPr>
          <t xml:space="preserve">
Effect of ultrasound, low-temperature thermal and
alkali pre-treatments on waste activated sludge
rheology, hygienization and methane potential</t>
        </r>
      </text>
    </comment>
  </commentList>
</comments>
</file>

<file path=xl/sharedStrings.xml><?xml version="1.0" encoding="utf-8"?>
<sst xmlns="http://schemas.openxmlformats.org/spreadsheetml/2006/main" count="899" uniqueCount="431">
  <si>
    <t>m</t>
  </si>
  <si>
    <t>l/s</t>
  </si>
  <si>
    <t>kW</t>
  </si>
  <si>
    <t>Misc.</t>
  </si>
  <si>
    <t>label</t>
  </si>
  <si>
    <t>variable</t>
  </si>
  <si>
    <t>value</t>
  </si>
  <si>
    <t>unit</t>
  </si>
  <si>
    <t>name</t>
  </si>
  <si>
    <t>grav.</t>
  </si>
  <si>
    <t>g</t>
  </si>
  <si>
    <t>m/s²</t>
  </si>
  <si>
    <r>
      <t>pressure</t>
    </r>
    <r>
      <rPr>
        <vertAlign val="subscript"/>
        <sz val="11"/>
        <color theme="1"/>
        <rFont val="Calibri"/>
        <family val="2"/>
        <scheme val="minor"/>
      </rPr>
      <t>N</t>
    </r>
  </si>
  <si>
    <r>
      <t>p</t>
    </r>
    <r>
      <rPr>
        <vertAlign val="subscript"/>
        <sz val="11"/>
        <color theme="1"/>
        <rFont val="Calibri"/>
        <family val="2"/>
        <scheme val="minor"/>
      </rPr>
      <t>0</t>
    </r>
  </si>
  <si>
    <t>Pa</t>
  </si>
  <si>
    <t>p0</t>
  </si>
  <si>
    <r>
      <t>temperature</t>
    </r>
    <r>
      <rPr>
        <vertAlign val="subscript"/>
        <sz val="11"/>
        <color theme="1"/>
        <rFont val="Calibri"/>
        <family val="2"/>
        <scheme val="minor"/>
      </rPr>
      <t>0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</si>
  <si>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0</t>
    </r>
  </si>
  <si>
    <t>K</t>
  </si>
  <si>
    <t>T0</t>
  </si>
  <si>
    <t>ind. gas constant</t>
  </si>
  <si>
    <t>R</t>
  </si>
  <si>
    <t>J/mol.K</t>
  </si>
  <si>
    <t>Ri</t>
  </si>
  <si>
    <r>
      <t>temperature</t>
    </r>
    <r>
      <rPr>
        <vertAlign val="subscript"/>
        <sz val="11"/>
        <color theme="1"/>
        <rFont val="Calibri"/>
        <family val="2"/>
        <scheme val="minor"/>
      </rPr>
      <t>N</t>
    </r>
  </si>
  <si>
    <t>Tst</t>
  </si>
  <si>
    <t>Water</t>
  </si>
  <si>
    <t>density</t>
  </si>
  <si>
    <r>
      <t>r</t>
    </r>
    <r>
      <rPr>
        <vertAlign val="subscript"/>
        <sz val="11"/>
        <color theme="1"/>
        <rFont val="Calibri"/>
        <family val="2"/>
        <scheme val="minor"/>
      </rPr>
      <t>w</t>
    </r>
  </si>
  <si>
    <t>kg/m³</t>
  </si>
  <si>
    <t>dw</t>
  </si>
  <si>
    <t>dyn. visc.</t>
  </si>
  <si>
    <r>
      <t>h</t>
    </r>
    <r>
      <rPr>
        <vertAlign val="subscript"/>
        <sz val="11"/>
        <color theme="1"/>
        <rFont val="Calibri"/>
        <family val="2"/>
        <scheme val="minor"/>
      </rPr>
      <t>w</t>
    </r>
  </si>
  <si>
    <t>Pa.s</t>
  </si>
  <si>
    <t>dvw</t>
  </si>
  <si>
    <t>kin. visc.</t>
  </si>
  <si>
    <r>
      <t>n</t>
    </r>
    <r>
      <rPr>
        <vertAlign val="subscript"/>
        <sz val="11"/>
        <color theme="1"/>
        <rFont val="Calibri"/>
        <family val="2"/>
        <scheme val="minor"/>
      </rPr>
      <t>w</t>
    </r>
  </si>
  <si>
    <t>kg.m/s</t>
  </si>
  <si>
    <t>kvw</t>
  </si>
  <si>
    <t>spez. heat</t>
  </si>
  <si>
    <r>
      <t>cp</t>
    </r>
    <r>
      <rPr>
        <vertAlign val="subscript"/>
        <sz val="11"/>
        <color theme="1"/>
        <rFont val="Calibri"/>
        <family val="2"/>
        <scheme val="minor"/>
      </rPr>
      <t>w</t>
    </r>
  </si>
  <si>
    <t>J/kg.K</t>
  </si>
  <si>
    <t>cpw</t>
  </si>
  <si>
    <t>surface tension</t>
  </si>
  <si>
    <t>Nm/m²</t>
  </si>
  <si>
    <t>gamma</t>
  </si>
  <si>
    <t>latent heat</t>
  </si>
  <si>
    <t>Air (standard)</t>
  </si>
  <si>
    <r>
      <t>r</t>
    </r>
    <r>
      <rPr>
        <vertAlign val="subscript"/>
        <sz val="11"/>
        <color theme="1"/>
        <rFont val="Calibri"/>
        <family val="2"/>
        <scheme val="minor"/>
      </rPr>
      <t>a</t>
    </r>
  </si>
  <si>
    <t>da</t>
  </si>
  <si>
    <r>
      <t>h</t>
    </r>
    <r>
      <rPr>
        <vertAlign val="subscript"/>
        <sz val="11"/>
        <color theme="1"/>
        <rFont val="Calibri"/>
        <family val="2"/>
        <scheme val="minor"/>
      </rPr>
      <t>a</t>
    </r>
  </si>
  <si>
    <t>dva</t>
  </si>
  <si>
    <r>
      <t>n</t>
    </r>
    <r>
      <rPr>
        <vertAlign val="subscript"/>
        <sz val="11"/>
        <color theme="1"/>
        <rFont val="Calibri"/>
        <family val="2"/>
        <scheme val="minor"/>
      </rPr>
      <t>a</t>
    </r>
  </si>
  <si>
    <t>kva</t>
  </si>
  <si>
    <r>
      <t>cp</t>
    </r>
    <r>
      <rPr>
        <vertAlign val="subscript"/>
        <sz val="11"/>
        <color theme="1"/>
        <rFont val="Calibri"/>
        <family val="2"/>
        <scheme val="minor"/>
      </rPr>
      <t>a</t>
    </r>
  </si>
  <si>
    <t>cpa</t>
  </si>
  <si>
    <t>spez. Gas const.</t>
  </si>
  <si>
    <r>
      <t>R</t>
    </r>
    <r>
      <rPr>
        <vertAlign val="subscript"/>
        <sz val="11"/>
        <color theme="1"/>
        <rFont val="Calibri"/>
        <family val="2"/>
        <scheme val="minor"/>
      </rPr>
      <t>a</t>
    </r>
  </si>
  <si>
    <t>Ra</t>
  </si>
  <si>
    <t>sludge (TS)</t>
  </si>
  <si>
    <r>
      <t>r</t>
    </r>
    <r>
      <rPr>
        <vertAlign val="subscript"/>
        <sz val="11"/>
        <color theme="1"/>
        <rFont val="Calibri"/>
        <family val="2"/>
        <scheme val="minor"/>
      </rPr>
      <t>TS</t>
    </r>
  </si>
  <si>
    <r>
      <t>h</t>
    </r>
    <r>
      <rPr>
        <vertAlign val="subscript"/>
        <sz val="11"/>
        <color theme="1"/>
        <rFont val="Calibri"/>
        <family val="2"/>
        <scheme val="minor"/>
      </rPr>
      <t>TS</t>
    </r>
  </si>
  <si>
    <r>
      <t>n</t>
    </r>
    <r>
      <rPr>
        <vertAlign val="subscript"/>
        <sz val="11"/>
        <color theme="1"/>
        <rFont val="Calibri"/>
        <family val="2"/>
        <scheme val="minor"/>
      </rPr>
      <t>TS</t>
    </r>
  </si>
  <si>
    <r>
      <t>cp</t>
    </r>
    <r>
      <rPr>
        <vertAlign val="subscript"/>
        <sz val="11"/>
        <color theme="1"/>
        <rFont val="Calibri"/>
        <family val="2"/>
        <scheme val="minor"/>
      </rPr>
      <t>TS</t>
    </r>
  </si>
  <si>
    <t>sludge (PS)</t>
  </si>
  <si>
    <r>
      <t>r</t>
    </r>
    <r>
      <rPr>
        <vertAlign val="subscript"/>
        <sz val="11"/>
        <color theme="1"/>
        <rFont val="Calibri"/>
        <family val="2"/>
        <scheme val="minor"/>
      </rPr>
      <t>PS</t>
    </r>
  </si>
  <si>
    <r>
      <t>h</t>
    </r>
    <r>
      <rPr>
        <vertAlign val="subscript"/>
        <sz val="11"/>
        <color theme="1"/>
        <rFont val="Calibri"/>
        <family val="2"/>
        <scheme val="minor"/>
      </rPr>
      <t>PS</t>
    </r>
  </si>
  <si>
    <r>
      <t>n</t>
    </r>
    <r>
      <rPr>
        <vertAlign val="subscript"/>
        <sz val="11"/>
        <color theme="1"/>
        <rFont val="Calibri"/>
        <family val="2"/>
        <scheme val="minor"/>
      </rPr>
      <t>PS</t>
    </r>
  </si>
  <si>
    <r>
      <t>cp</t>
    </r>
    <r>
      <rPr>
        <vertAlign val="subscript"/>
        <sz val="11"/>
        <color theme="1"/>
        <rFont val="Calibri"/>
        <family val="2"/>
        <scheme val="minor"/>
      </rPr>
      <t>PS</t>
    </r>
  </si>
  <si>
    <t>sludge (WAS)</t>
  </si>
  <si>
    <r>
      <t>r</t>
    </r>
    <r>
      <rPr>
        <vertAlign val="subscript"/>
        <sz val="11"/>
        <color theme="1"/>
        <rFont val="Calibri"/>
        <family val="2"/>
        <scheme val="minor"/>
      </rPr>
      <t>ES</t>
    </r>
  </si>
  <si>
    <r>
      <t>h</t>
    </r>
    <r>
      <rPr>
        <vertAlign val="subscript"/>
        <sz val="11"/>
        <color theme="1"/>
        <rFont val="Calibri"/>
        <family val="2"/>
        <scheme val="minor"/>
      </rPr>
      <t>ES</t>
    </r>
  </si>
  <si>
    <r>
      <t>n</t>
    </r>
    <r>
      <rPr>
        <vertAlign val="subscript"/>
        <sz val="11"/>
        <color theme="1"/>
        <rFont val="Calibri"/>
        <family val="2"/>
        <scheme val="minor"/>
      </rPr>
      <t>ES</t>
    </r>
  </si>
  <si>
    <r>
      <t>cp</t>
    </r>
    <r>
      <rPr>
        <vertAlign val="subscript"/>
        <sz val="11"/>
        <color theme="1"/>
        <rFont val="Calibri"/>
        <family val="2"/>
        <scheme val="minor"/>
      </rPr>
      <t>ES</t>
    </r>
  </si>
  <si>
    <t>sluge (FS)</t>
  </si>
  <si>
    <r>
      <t>r</t>
    </r>
    <r>
      <rPr>
        <vertAlign val="subscript"/>
        <sz val="11"/>
        <color theme="1"/>
        <rFont val="Calibri"/>
        <family val="2"/>
        <scheme val="minor"/>
      </rPr>
      <t>FS</t>
    </r>
  </si>
  <si>
    <r>
      <t>h</t>
    </r>
    <r>
      <rPr>
        <vertAlign val="subscript"/>
        <sz val="11"/>
        <color theme="1"/>
        <rFont val="Calibri"/>
        <family val="2"/>
        <scheme val="minor"/>
      </rPr>
      <t>FS</t>
    </r>
  </si>
  <si>
    <r>
      <t>n</t>
    </r>
    <r>
      <rPr>
        <vertAlign val="subscript"/>
        <sz val="11"/>
        <color theme="1"/>
        <rFont val="Calibri"/>
        <family val="2"/>
        <scheme val="minor"/>
      </rPr>
      <t>FS</t>
    </r>
  </si>
  <si>
    <r>
      <t>cp</t>
    </r>
    <r>
      <rPr>
        <vertAlign val="subscript"/>
        <sz val="11"/>
        <color theme="1"/>
        <rFont val="Calibri"/>
        <family val="2"/>
        <scheme val="minor"/>
      </rPr>
      <t>FS</t>
    </r>
  </si>
  <si>
    <t>US-Unit conversion</t>
  </si>
  <si>
    <t>liter per gallon</t>
  </si>
  <si>
    <t>lpg</t>
  </si>
  <si>
    <t>lt/gal</t>
  </si>
  <si>
    <t>Energy</t>
  </si>
  <si>
    <r>
      <t>calorific value CH</t>
    </r>
    <r>
      <rPr>
        <vertAlign val="subscript"/>
        <sz val="11"/>
        <color theme="1"/>
        <rFont val="Calibri"/>
        <family val="2"/>
        <scheme val="minor"/>
      </rPr>
      <t>4</t>
    </r>
  </si>
  <si>
    <t>Ho_CH4</t>
  </si>
  <si>
    <t>[MJ/kg]</t>
  </si>
  <si>
    <t>ho</t>
  </si>
  <si>
    <t>gallon per liter</t>
  </si>
  <si>
    <t>gpl</t>
  </si>
  <si>
    <t>gal/lt</t>
  </si>
  <si>
    <r>
      <t>heat value CH</t>
    </r>
    <r>
      <rPr>
        <vertAlign val="subscript"/>
        <sz val="11"/>
        <color theme="1"/>
        <rFont val="Calibri"/>
        <family val="2"/>
        <scheme val="minor"/>
      </rPr>
      <t>4</t>
    </r>
  </si>
  <si>
    <t>Hu_CH4</t>
  </si>
  <si>
    <t>hu</t>
  </si>
  <si>
    <t>lb per kg</t>
  </si>
  <si>
    <t>lpk</t>
  </si>
  <si>
    <t>lb/kg</t>
  </si>
  <si>
    <t>kg per lb</t>
  </si>
  <si>
    <t>kpl</t>
  </si>
  <si>
    <t>kg/lb</t>
  </si>
  <si>
    <t>mol mass</t>
  </si>
  <si>
    <t>N</t>
  </si>
  <si>
    <t>M_N</t>
  </si>
  <si>
    <t>kg/mol</t>
  </si>
  <si>
    <t>HP per kW</t>
  </si>
  <si>
    <t>hpk</t>
  </si>
  <si>
    <t>HP/kW</t>
  </si>
  <si>
    <t>P</t>
  </si>
  <si>
    <t>M_P</t>
  </si>
  <si>
    <t>kW per HP</t>
  </si>
  <si>
    <t>kph</t>
  </si>
  <si>
    <t>kW/HP</t>
  </si>
  <si>
    <t>O</t>
  </si>
  <si>
    <t>M_O</t>
  </si>
  <si>
    <t>ft per meter</t>
  </si>
  <si>
    <t>fpm</t>
  </si>
  <si>
    <t>ft/m</t>
  </si>
  <si>
    <t>Fe</t>
  </si>
  <si>
    <t>M_Fe</t>
  </si>
  <si>
    <t>meter per ft</t>
  </si>
  <si>
    <t>mpf</t>
  </si>
  <si>
    <t>m/ft</t>
  </si>
  <si>
    <t>S</t>
  </si>
  <si>
    <t>M_S</t>
  </si>
  <si>
    <t>BTU per kJ</t>
  </si>
  <si>
    <t>bpk</t>
  </si>
  <si>
    <t>btu/kJ</t>
  </si>
  <si>
    <t>C</t>
  </si>
  <si>
    <t>kJ per BTU</t>
  </si>
  <si>
    <t>kpb</t>
  </si>
  <si>
    <t>kJ/btu</t>
  </si>
  <si>
    <t>H</t>
  </si>
  <si>
    <t>CH4</t>
  </si>
  <si>
    <t>H2O</t>
  </si>
  <si>
    <t>CO2</t>
  </si>
  <si>
    <r>
      <t>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</si>
  <si>
    <r>
      <t>FePO</t>
    </r>
    <r>
      <rPr>
        <vertAlign val="subscript"/>
        <sz val="11"/>
        <color theme="1"/>
        <rFont val="Calibri"/>
        <family val="2"/>
        <scheme val="minor"/>
      </rPr>
      <t>4</t>
    </r>
  </si>
  <si>
    <r>
      <t>Fe(OH)</t>
    </r>
    <r>
      <rPr>
        <vertAlign val="subscript"/>
        <sz val="11"/>
        <color theme="1"/>
        <rFont val="Calibri"/>
        <family val="2"/>
        <scheme val="minor"/>
      </rPr>
      <t>3</t>
    </r>
  </si>
  <si>
    <r>
      <t>Ca</t>
    </r>
    <r>
      <rPr>
        <vertAlign val="superscript"/>
        <sz val="11"/>
        <color theme="1"/>
        <rFont val="Calibri"/>
        <family val="2"/>
        <scheme val="minor"/>
      </rPr>
      <t>2+</t>
    </r>
  </si>
  <si>
    <t>Ar</t>
  </si>
  <si>
    <t>N2</t>
  </si>
  <si>
    <t>O2</t>
  </si>
  <si>
    <t>gas constant</t>
  </si>
  <si>
    <r>
      <t>R</t>
    </r>
    <r>
      <rPr>
        <vertAlign val="subscript"/>
        <sz val="11"/>
        <color theme="1"/>
        <rFont val="Calibri"/>
        <family val="2"/>
        <scheme val="minor"/>
      </rPr>
      <t>i</t>
    </r>
  </si>
  <si>
    <r>
      <t>R</t>
    </r>
    <r>
      <rPr>
        <vertAlign val="subscript"/>
        <sz val="11"/>
        <color theme="1"/>
        <rFont val="Calibri"/>
        <family val="2"/>
        <scheme val="minor"/>
      </rPr>
      <t>H2O</t>
    </r>
  </si>
  <si>
    <r>
      <t>R</t>
    </r>
    <r>
      <rPr>
        <vertAlign val="subscript"/>
        <sz val="11"/>
        <color theme="1"/>
        <rFont val="Calibri"/>
        <family val="2"/>
        <scheme val="minor"/>
      </rPr>
      <t>CH4</t>
    </r>
  </si>
  <si>
    <r>
      <t>R</t>
    </r>
    <r>
      <rPr>
        <vertAlign val="subscript"/>
        <sz val="11"/>
        <color theme="1"/>
        <rFont val="Calibri"/>
        <family val="2"/>
        <scheme val="minor"/>
      </rPr>
      <t>CO2</t>
    </r>
  </si>
  <si>
    <r>
      <t>R</t>
    </r>
    <r>
      <rPr>
        <vertAlign val="subscript"/>
        <sz val="11"/>
        <color theme="1"/>
        <rFont val="Calibri"/>
        <family val="2"/>
        <scheme val="minor"/>
      </rPr>
      <t>O2</t>
    </r>
  </si>
  <si>
    <r>
      <t>R</t>
    </r>
    <r>
      <rPr>
        <vertAlign val="subscript"/>
        <sz val="11"/>
        <color theme="1"/>
        <rFont val="Calibri"/>
        <family val="2"/>
        <scheme val="minor"/>
      </rPr>
      <t>air</t>
    </r>
  </si>
  <si>
    <r>
      <t>R</t>
    </r>
    <r>
      <rPr>
        <vertAlign val="subscript"/>
        <sz val="11"/>
        <color theme="1"/>
        <rFont val="Calibri"/>
        <family val="2"/>
        <scheme val="minor"/>
      </rPr>
      <t>AR</t>
    </r>
  </si>
  <si>
    <r>
      <t>R</t>
    </r>
    <r>
      <rPr>
        <vertAlign val="subscript"/>
        <sz val="11"/>
        <color theme="1"/>
        <rFont val="Calibri"/>
        <family val="2"/>
        <scheme val="minor"/>
      </rPr>
      <t>N2</t>
    </r>
  </si>
  <si>
    <t>henry constant</t>
  </si>
  <si>
    <t>k0H(O2)</t>
  </si>
  <si>
    <t>mol/kg.bar</t>
  </si>
  <si>
    <t>-</t>
  </si>
  <si>
    <t>Pump settings</t>
  </si>
  <si>
    <t>Symbol</t>
  </si>
  <si>
    <t>Name</t>
  </si>
  <si>
    <t>Unit</t>
  </si>
  <si>
    <t>Flow [l/s]</t>
  </si>
  <si>
    <t>Pump curve generator</t>
  </si>
  <si>
    <t>Based on the flow requirement a proper pump curve can be generated and used for energy demand prediction</t>
  </si>
  <si>
    <t>Based on pump datasheet a real pump curve can be used for energy demand calculation</t>
  </si>
  <si>
    <t>Default solution, provides dataset for 3 pump size</t>
  </si>
  <si>
    <t>pc</t>
  </si>
  <si>
    <t>Input parameters</t>
  </si>
  <si>
    <t>Value</t>
  </si>
  <si>
    <t>Comment</t>
  </si>
  <si>
    <t>Pipe dynamic head</t>
  </si>
  <si>
    <t>Pump max efficiency</t>
  </si>
  <si>
    <t>Pump head capacity buffer</t>
  </si>
  <si>
    <t>Pump flow capacity buffer</t>
  </si>
  <si>
    <t>Small</t>
  </si>
  <si>
    <t>Medium</t>
  </si>
  <si>
    <t>Large</t>
  </si>
  <si>
    <t>Pump curve parameters and specification</t>
  </si>
  <si>
    <t>Efficiency</t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</si>
  <si>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hmax</t>
    </r>
  </si>
  <si>
    <r>
      <t>h</t>
    </r>
    <r>
      <rPr>
        <vertAlign val="subscript"/>
        <sz val="11"/>
        <color theme="1"/>
        <rFont val="Calibri"/>
        <family val="2"/>
        <scheme val="minor"/>
      </rPr>
      <t>max</t>
    </r>
  </si>
  <si>
    <r>
      <t>Q</t>
    </r>
    <r>
      <rPr>
        <vertAlign val="subscript"/>
        <sz val="11"/>
        <color theme="1"/>
        <rFont val="Calibri"/>
        <family val="2"/>
        <scheme val="minor"/>
      </rPr>
      <t>min</t>
    </r>
  </si>
  <si>
    <t>Pump curve calibration parameters</t>
  </si>
  <si>
    <t>VFD curve calibration parameters</t>
  </si>
  <si>
    <r>
      <t>Q</t>
    </r>
    <r>
      <rPr>
        <vertAlign val="subscript"/>
        <sz val="11"/>
        <color theme="1"/>
        <rFont val="Calibri"/>
        <family val="2"/>
        <scheme val="minor"/>
      </rPr>
      <t>max</t>
    </r>
  </si>
  <si>
    <r>
      <t>h</t>
    </r>
    <r>
      <rPr>
        <vertAlign val="subscript"/>
        <sz val="11"/>
        <color theme="1"/>
        <rFont val="Calibri"/>
        <family val="2"/>
        <scheme val="minor"/>
      </rPr>
      <t>min</t>
    </r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</si>
  <si>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hmin</t>
    </r>
  </si>
  <si>
    <t>VFD parameters at max head, zero flow</t>
  </si>
  <si>
    <t>VFD parameters at max efficiency</t>
  </si>
  <si>
    <t>VFD parameters at max flow, zero head</t>
  </si>
  <si>
    <t>Pump head</t>
  </si>
  <si>
    <t>Flow head</t>
  </si>
  <si>
    <t>Dynamic head</t>
  </si>
  <si>
    <t>Power demand</t>
  </si>
  <si>
    <t>Efficiency at VFD limit</t>
  </si>
  <si>
    <t>Pump head at VFD limit</t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</si>
  <si>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max</t>
    </r>
  </si>
  <si>
    <r>
      <t>h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max</t>
    </r>
  </si>
  <si>
    <r>
      <t>Q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max</t>
    </r>
  </si>
  <si>
    <r>
      <t>f</t>
    </r>
    <r>
      <rPr>
        <vertAlign val="subscript"/>
        <sz val="11"/>
        <color theme="1"/>
        <rFont val="Calibri"/>
        <family val="2"/>
        <scheme val="minor"/>
      </rPr>
      <t>head</t>
    </r>
  </si>
  <si>
    <r>
      <t>f</t>
    </r>
    <r>
      <rPr>
        <vertAlign val="subscript"/>
        <sz val="11"/>
        <color theme="1"/>
        <rFont val="Calibri"/>
        <family val="2"/>
        <scheme val="minor"/>
      </rPr>
      <t>flow</t>
    </r>
  </si>
  <si>
    <r>
      <t>f</t>
    </r>
    <r>
      <rPr>
        <vertAlign val="subscript"/>
        <sz val="11"/>
        <color theme="1"/>
        <rFont val="Calibri"/>
        <family val="2"/>
        <scheme val="minor"/>
      </rPr>
      <t>VFD,limit</t>
    </r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</si>
  <si>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VFD</t>
    </r>
  </si>
  <si>
    <r>
      <t>f</t>
    </r>
    <r>
      <rPr>
        <vertAlign val="subscript"/>
        <sz val="11"/>
        <color theme="1"/>
        <rFont val="Calibri"/>
        <family val="2"/>
        <scheme val="minor"/>
      </rPr>
      <t>sens,VFD</t>
    </r>
  </si>
  <si>
    <r>
      <t>Q</t>
    </r>
    <r>
      <rPr>
        <vertAlign val="subscript"/>
        <sz val="11"/>
        <color theme="1"/>
        <rFont val="Calibri"/>
        <family val="2"/>
        <scheme val="minor"/>
      </rPr>
      <t>pump,pc</t>
    </r>
  </si>
  <si>
    <t>Pump efficiency at flow demand</t>
  </si>
  <si>
    <r>
      <t>P</t>
    </r>
    <r>
      <rPr>
        <vertAlign val="subscript"/>
        <sz val="11"/>
        <color theme="1"/>
        <rFont val="Calibri"/>
        <family val="2"/>
        <scheme val="minor"/>
      </rPr>
      <t>el,pump</t>
    </r>
  </si>
  <si>
    <t>Power demand of pump at flow demand</t>
  </si>
  <si>
    <t>Flow demand per pump</t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</si>
  <si>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max,VFD</t>
    </r>
  </si>
  <si>
    <r>
      <t>Q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max,VFD</t>
    </r>
  </si>
  <si>
    <r>
      <t>Q</t>
    </r>
    <r>
      <rPr>
        <vertAlign val="subscript"/>
        <sz val="11"/>
        <color theme="1"/>
        <rFont val="Calibri"/>
        <family val="2"/>
        <scheme val="minor"/>
      </rPr>
      <t>max,VFD</t>
    </r>
  </si>
  <si>
    <r>
      <t>Q</t>
    </r>
    <r>
      <rPr>
        <vertAlign val="subscript"/>
        <sz val="11"/>
        <color theme="1"/>
        <rFont val="Calibri"/>
        <family val="2"/>
        <scheme val="minor"/>
      </rPr>
      <t>min,VFD</t>
    </r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</si>
  <si>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hmax,VFD</t>
    </r>
  </si>
  <si>
    <r>
      <t>n</t>
    </r>
    <r>
      <rPr>
        <vertAlign val="subscript"/>
        <sz val="11"/>
        <color theme="1"/>
        <rFont val="Calibri"/>
        <family val="2"/>
        <scheme val="minor"/>
      </rPr>
      <t>calibration,VFD</t>
    </r>
  </si>
  <si>
    <t>Minimum number of working pumps</t>
  </si>
  <si>
    <t>Pump parameters at maximum head, thus zero flow</t>
  </si>
  <si>
    <t>Minimum flow</t>
  </si>
  <si>
    <t>Head at minimum flow</t>
  </si>
  <si>
    <t>Efficiency at maximum head, minimum flow</t>
  </si>
  <si>
    <t>Pump parameters at operating point</t>
  </si>
  <si>
    <t>Flow rate at operating point</t>
  </si>
  <si>
    <t>Head at operating point</t>
  </si>
  <si>
    <t>Efficiency at operating point</t>
  </si>
  <si>
    <t>Flow rate at maximum flow, minimum head</t>
  </si>
  <si>
    <t>Minimum head</t>
  </si>
  <si>
    <t>Efficiency at maximum flow, minimum head</t>
  </si>
  <si>
    <t>Pump parameters at maximum efficiency</t>
  </si>
  <si>
    <t>Flow rate at maximum efficiency</t>
  </si>
  <si>
    <t>Head at maximum efficiency</t>
  </si>
  <si>
    <t>Maximum efficiency</t>
  </si>
  <si>
    <t>Pump parameters at maximum flow, zero head</t>
  </si>
  <si>
    <t>Pump maximum flow at minimum head</t>
  </si>
  <si>
    <t>Turndown limit of Variable Frequency Drive</t>
  </si>
  <si>
    <t>Efficiency loss at Variable Frequency Drive</t>
  </si>
  <si>
    <t>Sensitivity of Variable Frequency Drive</t>
  </si>
  <si>
    <t>Variable Frequency Drive sensitivity</t>
  </si>
  <si>
    <t>Minimum flow with Variable Frequency Drive</t>
  </si>
  <si>
    <t>Flow rate at VFD turndown limit at maximum flow, minimum head</t>
  </si>
  <si>
    <t>Efficiency at VFD turndown limit at maximum flow, minimum head</t>
  </si>
  <si>
    <r>
      <t>Q</t>
    </r>
    <r>
      <rPr>
        <vertAlign val="subscript"/>
        <sz val="11"/>
        <color theme="1"/>
        <rFont val="Calibri"/>
        <family val="2"/>
        <scheme val="minor"/>
      </rPr>
      <t>op</t>
    </r>
  </si>
  <si>
    <r>
      <t>h</t>
    </r>
    <r>
      <rPr>
        <vertAlign val="subscript"/>
        <sz val="11"/>
        <color theme="1"/>
        <rFont val="Calibri"/>
        <family val="2"/>
        <scheme val="minor"/>
      </rPr>
      <t>op</t>
    </r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</si>
  <si>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hop</t>
    </r>
  </si>
  <si>
    <t>Pump curve settings</t>
  </si>
  <si>
    <t>Efficiency at maximum head, minimum flow with Variable Frequency Drive</t>
  </si>
  <si>
    <t>Flow rate with Variable Frequency Drive at maximum efficiency</t>
  </si>
  <si>
    <t>Maximum efficiency with Variable Frequency Drive</t>
  </si>
  <si>
    <t>Variable Frequency Drive turndown limit</t>
  </si>
  <si>
    <t>X</t>
  </si>
  <si>
    <t>freq</t>
  </si>
  <si>
    <t>ηp(f)</t>
  </si>
  <si>
    <t>ηM(f)</t>
  </si>
  <si>
    <t>ηI(f)</t>
  </si>
  <si>
    <r>
      <t>η</t>
    </r>
    <r>
      <rPr>
        <vertAlign val="subscript"/>
        <sz val="11"/>
        <rFont val="Calibri"/>
        <family val="2"/>
      </rPr>
      <t>max</t>
    </r>
  </si>
  <si>
    <t>Pump curve calibration parameters for 3 point</t>
  </si>
  <si>
    <t>Value at 1st</t>
  </si>
  <si>
    <t>Value at 2nd</t>
  </si>
  <si>
    <t>Value at 3rd</t>
  </si>
  <si>
    <t>Flow at the calibration points</t>
  </si>
  <si>
    <t>Head at the calibration points</t>
  </si>
  <si>
    <t>Motor power demand at the calibration points</t>
  </si>
  <si>
    <t>Pumping power demand at the calibration points</t>
  </si>
  <si>
    <t>Inverter power demand at the calibration points</t>
  </si>
  <si>
    <t>Total efficiency at the calibration points</t>
  </si>
  <si>
    <t>Pump efficiency at the calibration points</t>
  </si>
  <si>
    <r>
      <t>h</t>
    </r>
    <r>
      <rPr>
        <vertAlign val="subscript"/>
        <sz val="11"/>
        <color theme="1"/>
        <rFont val="Calibri"/>
        <family val="2"/>
        <scheme val="minor"/>
      </rPr>
      <t>total,i</t>
    </r>
  </si>
  <si>
    <r>
      <t>h</t>
    </r>
    <r>
      <rPr>
        <vertAlign val="subscript"/>
        <sz val="11"/>
        <color theme="1"/>
        <rFont val="Calibri"/>
        <family val="2"/>
        <scheme val="minor"/>
      </rPr>
      <t>cal,i</t>
    </r>
  </si>
  <si>
    <r>
      <t>Q</t>
    </r>
    <r>
      <rPr>
        <vertAlign val="subscript"/>
        <sz val="11"/>
        <color theme="1"/>
        <rFont val="Calibri"/>
        <family val="2"/>
        <scheme val="minor"/>
      </rPr>
      <t>cal,i</t>
    </r>
  </si>
  <si>
    <r>
      <t>P</t>
    </r>
    <r>
      <rPr>
        <vertAlign val="subscript"/>
        <sz val="11"/>
        <color theme="1"/>
        <rFont val="Calibri"/>
        <family val="2"/>
        <scheme val="minor"/>
      </rPr>
      <t>el,pneu,i</t>
    </r>
  </si>
  <si>
    <r>
      <t>P</t>
    </r>
    <r>
      <rPr>
        <vertAlign val="subscript"/>
        <sz val="11"/>
        <color theme="1"/>
        <rFont val="Calibri"/>
        <family val="2"/>
        <scheme val="minor"/>
      </rPr>
      <t>el,motor,i</t>
    </r>
  </si>
  <si>
    <r>
      <t>P</t>
    </r>
    <r>
      <rPr>
        <vertAlign val="subscript"/>
        <sz val="11"/>
        <color theme="1"/>
        <rFont val="Calibri"/>
        <family val="2"/>
        <scheme val="minor"/>
      </rPr>
      <t>el,inverter,i</t>
    </r>
  </si>
  <si>
    <r>
      <t>h</t>
    </r>
    <r>
      <rPr>
        <vertAlign val="subscript"/>
        <sz val="11"/>
        <color theme="1"/>
        <rFont val="Calibri"/>
        <family val="2"/>
        <scheme val="minor"/>
      </rPr>
      <t>pumping,i</t>
    </r>
  </si>
  <si>
    <r>
      <t>Q</t>
    </r>
    <r>
      <rPr>
        <vertAlign val="subscript"/>
        <sz val="11"/>
        <color theme="1"/>
        <rFont val="Calibri"/>
        <family val="2"/>
        <scheme val="minor"/>
      </rPr>
      <t>cal,VFD,i</t>
    </r>
  </si>
  <si>
    <t>Pump curve parameters based on the 3 datapoint for headloss</t>
  </si>
  <si>
    <t>Pump curve parameters based on the 3 datapoint for efficiency</t>
  </si>
  <si>
    <t>VFD frequency at datapoints</t>
  </si>
  <si>
    <t>Inverter efficiency</t>
  </si>
  <si>
    <t>Motor efficiency</t>
  </si>
  <si>
    <t>VFD power loss correction at inverter</t>
  </si>
  <si>
    <t>VFD power loss correction at motor</t>
  </si>
  <si>
    <t>VFD power loss correction at pumping</t>
  </si>
  <si>
    <r>
      <t>f</t>
    </r>
    <r>
      <rPr>
        <vertAlign val="subscript"/>
        <sz val="11"/>
        <rFont val="Calibri"/>
        <family val="2"/>
        <scheme val="minor"/>
      </rPr>
      <t>viscosity</t>
    </r>
  </si>
  <si>
    <r>
      <t>f</t>
    </r>
    <r>
      <rPr>
        <vertAlign val="subscript"/>
        <sz val="11"/>
        <rFont val="Calibri"/>
        <family val="2"/>
        <scheme val="minor"/>
      </rPr>
      <t>degradation</t>
    </r>
  </si>
  <si>
    <r>
      <t>n</t>
    </r>
    <r>
      <rPr>
        <vertAlign val="subscript"/>
        <sz val="11"/>
        <rFont val="Calibri"/>
        <family val="2"/>
        <scheme val="minor"/>
      </rPr>
      <t>calibration</t>
    </r>
  </si>
  <si>
    <r>
      <t>η</t>
    </r>
    <r>
      <rPr>
        <vertAlign val="subscript"/>
        <sz val="11"/>
        <rFont val="Calibri"/>
        <family val="2"/>
      </rPr>
      <t>el,inverter</t>
    </r>
  </si>
  <si>
    <r>
      <t>η</t>
    </r>
    <r>
      <rPr>
        <vertAlign val="subscript"/>
        <sz val="11"/>
        <rFont val="Calibri"/>
        <family val="2"/>
      </rPr>
      <t>el,motor</t>
    </r>
  </si>
  <si>
    <r>
      <t>η</t>
    </r>
    <r>
      <rPr>
        <vertAlign val="subscript"/>
        <sz val="11"/>
        <rFont val="Calibri"/>
        <family val="2"/>
      </rPr>
      <t>el,VFD,inverter</t>
    </r>
  </si>
  <si>
    <r>
      <t>η</t>
    </r>
    <r>
      <rPr>
        <vertAlign val="subscript"/>
        <sz val="11"/>
        <rFont val="Calibri"/>
        <family val="2"/>
      </rPr>
      <t>el,VFD,motor</t>
    </r>
  </si>
  <si>
    <r>
      <t>η</t>
    </r>
    <r>
      <rPr>
        <vertAlign val="subscript"/>
        <sz val="11"/>
        <rFont val="Calibri"/>
        <family val="2"/>
      </rPr>
      <t>el,VFD,pumping</t>
    </r>
  </si>
  <si>
    <t>The entry of 3 points (Qi, Hi) is always required (*) in order to produce a nominal pump characteristic.</t>
  </si>
  <si>
    <t>For the 3 points, efficiencies can also be calibrated in to approximate an efficiency index - this results in the respective performance (**)</t>
  </si>
  <si>
    <t>* A default line could be constructed at a desired operating point with known (Q1, H1) and standardized curves (default values for A and B).</t>
  </si>
  <si>
    <t>** Alternatively, an efficiency curve can be constructed using a constant known electrical power. (Default values for eta)</t>
  </si>
  <si>
    <t>Calibration parameters for the 3 point</t>
  </si>
  <si>
    <t>Calibration parameters for the VFD parameters</t>
  </si>
  <si>
    <t>Pump curve calibration with VFD parameters</t>
  </si>
  <si>
    <r>
      <t>Q</t>
    </r>
    <r>
      <rPr>
        <vertAlign val="subscript"/>
        <sz val="11"/>
        <color theme="1"/>
        <rFont val="Calibri"/>
        <family val="2"/>
        <scheme val="minor"/>
      </rPr>
      <t>pumped,target</t>
    </r>
  </si>
  <si>
    <t>Required pump head at target flow</t>
  </si>
  <si>
    <t>Spare pump to be used in case of failure</t>
  </si>
  <si>
    <t>Nominal efficiency</t>
  </si>
  <si>
    <t>Pump head at flow target</t>
  </si>
  <si>
    <t>Efficiency at flow target</t>
  </si>
  <si>
    <t>Power demand at flow target</t>
  </si>
  <si>
    <t>Calibration headloss curve coefficient a</t>
  </si>
  <si>
    <t>Calibration headloss curve coefficient b</t>
  </si>
  <si>
    <t>Calibration headloss curve intercept</t>
  </si>
  <si>
    <t>Calibration efficiency curve coefficient a</t>
  </si>
  <si>
    <t>Calibration efficiency curve coefficient b</t>
  </si>
  <si>
    <t>Calibration efficiency curve intercept</t>
  </si>
  <si>
    <t>x coordinate of parabola turning point</t>
  </si>
  <si>
    <t>y coordinate of parabola turning point</t>
  </si>
  <si>
    <t>Efficiency curve  turning point: max efficiency</t>
  </si>
  <si>
    <r>
      <t>a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,Q</t>
    </r>
  </si>
  <si>
    <r>
      <t>b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,Q</t>
    </r>
  </si>
  <si>
    <r>
      <t>c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,Q</t>
    </r>
  </si>
  <si>
    <r>
      <rPr>
        <b/>
        <sz val="13"/>
        <color theme="3"/>
        <rFont val="Symbol"/>
        <family val="1"/>
        <charset val="2"/>
      </rPr>
      <t>h</t>
    </r>
    <r>
      <rPr>
        <b/>
        <sz val="13"/>
        <color theme="3"/>
        <rFont val="Calibri"/>
        <family val="2"/>
        <scheme val="minor"/>
      </rPr>
      <t xml:space="preserve"> = a</t>
    </r>
    <r>
      <rPr>
        <b/>
        <vertAlign val="subscript"/>
        <sz val="13"/>
        <color theme="3"/>
        <rFont val="Symbol"/>
        <family val="1"/>
        <charset val="2"/>
      </rPr>
      <t>h</t>
    </r>
    <r>
      <rPr>
        <b/>
        <vertAlign val="subscript"/>
        <sz val="13"/>
        <color theme="3"/>
        <rFont val="Calibri"/>
        <family val="2"/>
        <scheme val="minor"/>
      </rPr>
      <t>,Q</t>
    </r>
    <r>
      <rPr>
        <b/>
        <sz val="13"/>
        <color theme="3"/>
        <rFont val="Calibri"/>
        <family val="2"/>
        <scheme val="minor"/>
      </rPr>
      <t xml:space="preserve"> * Q</t>
    </r>
    <r>
      <rPr>
        <b/>
        <vertAlign val="subscript"/>
        <sz val="13"/>
        <color theme="3"/>
        <rFont val="Calibri"/>
        <family val="2"/>
        <scheme val="minor"/>
      </rPr>
      <t>pump</t>
    </r>
    <r>
      <rPr>
        <b/>
        <vertAlign val="superscript"/>
        <sz val="13"/>
        <color theme="3"/>
        <rFont val="Calibri"/>
        <family val="2"/>
        <scheme val="minor"/>
      </rPr>
      <t>2</t>
    </r>
    <r>
      <rPr>
        <b/>
        <sz val="13"/>
        <color theme="3"/>
        <rFont val="Calibri"/>
        <family val="2"/>
        <scheme val="minor"/>
      </rPr>
      <t xml:space="preserve"> + b</t>
    </r>
    <r>
      <rPr>
        <b/>
        <vertAlign val="subscript"/>
        <sz val="13"/>
        <color theme="3"/>
        <rFont val="Symbol"/>
        <family val="1"/>
        <charset val="2"/>
      </rPr>
      <t>h</t>
    </r>
    <r>
      <rPr>
        <b/>
        <vertAlign val="subscript"/>
        <sz val="13"/>
        <color theme="3"/>
        <rFont val="Calibri"/>
        <family val="2"/>
        <scheme val="minor"/>
      </rPr>
      <t>,Q</t>
    </r>
    <r>
      <rPr>
        <b/>
        <sz val="13"/>
        <color theme="3"/>
        <rFont val="Calibri"/>
        <family val="2"/>
        <scheme val="minor"/>
      </rPr>
      <t xml:space="preserve"> * Q</t>
    </r>
    <r>
      <rPr>
        <b/>
        <vertAlign val="subscript"/>
        <sz val="13"/>
        <color theme="3"/>
        <rFont val="Calibri"/>
        <family val="2"/>
        <scheme val="minor"/>
      </rPr>
      <t>pump</t>
    </r>
    <r>
      <rPr>
        <b/>
        <sz val="13"/>
        <color theme="3"/>
        <rFont val="Calibri"/>
        <family val="2"/>
        <scheme val="minor"/>
      </rPr>
      <t xml:space="preserve"> + c</t>
    </r>
    <r>
      <rPr>
        <b/>
        <vertAlign val="subscript"/>
        <sz val="13"/>
        <color theme="3"/>
        <rFont val="Symbol"/>
        <family val="1"/>
        <charset val="2"/>
      </rPr>
      <t>h</t>
    </r>
    <r>
      <rPr>
        <b/>
        <vertAlign val="subscript"/>
        <sz val="13"/>
        <color theme="3"/>
        <rFont val="Calibri"/>
        <family val="2"/>
        <scheme val="minor"/>
      </rPr>
      <t>,Q</t>
    </r>
  </si>
  <si>
    <r>
      <t>Q</t>
    </r>
    <r>
      <rPr>
        <vertAlign val="subscript"/>
        <sz val="11"/>
        <color theme="1"/>
        <rFont val="Calibri"/>
        <family val="2"/>
        <scheme val="minor"/>
      </rPr>
      <t>tp</t>
    </r>
  </si>
  <si>
    <t>Pump curve parameters based on the 3 datapoint for efficiency at VFD limit</t>
  </si>
  <si>
    <r>
      <t>a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,Q,VFD</t>
    </r>
  </si>
  <si>
    <r>
      <t>b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,Q,VFD</t>
    </r>
  </si>
  <si>
    <r>
      <t>c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,Q,VFD</t>
    </r>
  </si>
  <si>
    <r>
      <t>h</t>
    </r>
    <r>
      <rPr>
        <vertAlign val="subscript"/>
        <sz val="11"/>
        <color theme="1"/>
        <rFont val="Calibri"/>
        <family val="2"/>
        <scheme val="minor"/>
      </rPr>
      <t>cal,VFD</t>
    </r>
  </si>
  <si>
    <r>
      <rPr>
        <b/>
        <sz val="11"/>
        <color theme="3"/>
        <rFont val="Symbol"/>
        <family val="1"/>
        <charset val="2"/>
      </rPr>
      <t>h</t>
    </r>
    <r>
      <rPr>
        <b/>
        <sz val="11"/>
        <color theme="3"/>
        <rFont val="Calibri"/>
        <family val="2"/>
        <scheme val="minor"/>
      </rPr>
      <t xml:space="preserve"> = a</t>
    </r>
    <r>
      <rPr>
        <b/>
        <vertAlign val="subscript"/>
        <sz val="11"/>
        <color theme="3"/>
        <rFont val="Symbol"/>
        <family val="1"/>
        <charset val="2"/>
      </rPr>
      <t>h</t>
    </r>
    <r>
      <rPr>
        <b/>
        <vertAlign val="subscript"/>
        <sz val="11"/>
        <color theme="3"/>
        <rFont val="Calibri"/>
        <family val="2"/>
        <scheme val="minor"/>
      </rPr>
      <t>,Q,VFD</t>
    </r>
    <r>
      <rPr>
        <b/>
        <sz val="11"/>
        <color theme="3"/>
        <rFont val="Calibri"/>
        <family val="2"/>
        <scheme val="minor"/>
      </rPr>
      <t xml:space="preserve"> * Q</t>
    </r>
    <r>
      <rPr>
        <b/>
        <vertAlign val="subscript"/>
        <sz val="11"/>
        <color theme="3"/>
        <rFont val="Calibri"/>
        <family val="2"/>
        <scheme val="minor"/>
      </rPr>
      <t>pump</t>
    </r>
    <r>
      <rPr>
        <b/>
        <vertAlign val="superscript"/>
        <sz val="11"/>
        <color theme="3"/>
        <rFont val="Calibri"/>
        <family val="2"/>
        <scheme val="minor"/>
      </rPr>
      <t>2</t>
    </r>
    <r>
      <rPr>
        <b/>
        <sz val="11"/>
        <color theme="3"/>
        <rFont val="Calibri"/>
        <family val="2"/>
        <scheme val="minor"/>
      </rPr>
      <t xml:space="preserve"> + b</t>
    </r>
    <r>
      <rPr>
        <b/>
        <vertAlign val="subscript"/>
        <sz val="11"/>
        <color theme="3"/>
        <rFont val="Symbol"/>
        <family val="1"/>
        <charset val="2"/>
      </rPr>
      <t>h</t>
    </r>
    <r>
      <rPr>
        <b/>
        <vertAlign val="subscript"/>
        <sz val="11"/>
        <color theme="3"/>
        <rFont val="Calibri"/>
        <family val="2"/>
        <scheme val="minor"/>
      </rPr>
      <t>,Q,VFD</t>
    </r>
    <r>
      <rPr>
        <b/>
        <sz val="11"/>
        <color theme="3"/>
        <rFont val="Calibri"/>
        <family val="2"/>
        <scheme val="minor"/>
      </rPr>
      <t xml:space="preserve"> * Q</t>
    </r>
    <r>
      <rPr>
        <b/>
        <vertAlign val="subscript"/>
        <sz val="11"/>
        <color theme="3"/>
        <rFont val="Calibri"/>
        <family val="2"/>
        <scheme val="minor"/>
      </rPr>
      <t>pump</t>
    </r>
    <r>
      <rPr>
        <b/>
        <sz val="11"/>
        <color theme="3"/>
        <rFont val="Calibri"/>
        <family val="2"/>
        <scheme val="minor"/>
      </rPr>
      <t xml:space="preserve"> + c</t>
    </r>
    <r>
      <rPr>
        <b/>
        <vertAlign val="subscript"/>
        <sz val="11"/>
        <color theme="3"/>
        <rFont val="Symbol"/>
        <family val="1"/>
        <charset val="2"/>
      </rPr>
      <t>h</t>
    </r>
    <r>
      <rPr>
        <b/>
        <vertAlign val="subscript"/>
        <sz val="11"/>
        <color theme="3"/>
        <rFont val="Calibri"/>
        <family val="2"/>
        <scheme val="minor"/>
      </rPr>
      <t>,Q,VFD</t>
    </r>
  </si>
  <si>
    <t>Calibration headloss at VFD limit for 2nd point</t>
  </si>
  <si>
    <t>Parabola coefficient crosscheck</t>
  </si>
  <si>
    <r>
      <t>Q</t>
    </r>
    <r>
      <rPr>
        <vertAlign val="subscript"/>
        <sz val="11"/>
        <color theme="1"/>
        <rFont val="Calibri"/>
        <family val="2"/>
        <scheme val="minor"/>
      </rPr>
      <t>cal,VFD</t>
    </r>
  </si>
  <si>
    <t>Calibration flow at VFD limit for 2nd point</t>
  </si>
  <si>
    <t>Relative frequency</t>
  </si>
  <si>
    <r>
      <t>n</t>
    </r>
    <r>
      <rPr>
        <vertAlign val="subscript"/>
        <sz val="11"/>
        <color theme="1"/>
        <rFont val="Calibri"/>
        <family val="2"/>
        <scheme val="minor"/>
      </rPr>
      <t>rpm,i</t>
    </r>
  </si>
  <si>
    <t>Frequency/rpm at flow target and flow headloss</t>
  </si>
  <si>
    <r>
      <t>n</t>
    </r>
    <r>
      <rPr>
        <vertAlign val="subscript"/>
        <sz val="11"/>
        <color theme="1"/>
        <rFont val="Calibri"/>
        <family val="2"/>
        <scheme val="minor"/>
      </rPr>
      <t>actual</t>
    </r>
  </si>
  <si>
    <t>Headloss at target flow</t>
  </si>
  <si>
    <t>Target flow</t>
  </si>
  <si>
    <t>Efficiency at target flow</t>
  </si>
  <si>
    <t>Operating point operational parameters</t>
  </si>
  <si>
    <t>Power demand at target flow, head and rpm</t>
  </si>
  <si>
    <r>
      <t>η</t>
    </r>
    <r>
      <rPr>
        <vertAlign val="subscript"/>
        <sz val="11"/>
        <rFont val="Calibri"/>
        <family val="2"/>
      </rPr>
      <t>actual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</si>
  <si>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pump</t>
    </r>
  </si>
  <si>
    <r>
      <t>a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,Q,actual</t>
    </r>
  </si>
  <si>
    <r>
      <t>b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,Q,actual</t>
    </r>
  </si>
  <si>
    <r>
      <t>c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,Q,actual</t>
    </r>
  </si>
  <si>
    <t>Actual efficiency curve coefficient a</t>
  </si>
  <si>
    <t>Actual efficiency curve coefficient b</t>
  </si>
  <si>
    <t>Actual efficiency curve intercept</t>
  </si>
  <si>
    <t>.</t>
  </si>
  <si>
    <t>Pumped flow at maximum efficiency</t>
  </si>
  <si>
    <t>Efficiency curve intercept at low flow</t>
  </si>
  <si>
    <t>Efficiency curve intercept at high flow</t>
  </si>
  <si>
    <t>Pump characteristic boundary parameters</t>
  </si>
  <si>
    <t>Value top</t>
  </si>
  <si>
    <t>Value min</t>
  </si>
  <si>
    <t>Value op</t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</si>
  <si>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max,i</t>
    </r>
  </si>
  <si>
    <r>
      <t>Q</t>
    </r>
    <r>
      <rPr>
        <vertAlign val="subscript"/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max,i</t>
    </r>
  </si>
  <si>
    <r>
      <t>Q</t>
    </r>
    <r>
      <rPr>
        <vertAlign val="subscript"/>
        <sz val="11"/>
        <color theme="1"/>
        <rFont val="Calibri"/>
        <family val="2"/>
        <scheme val="minor"/>
      </rPr>
      <t>max,i</t>
    </r>
  </si>
  <si>
    <r>
      <t>Q</t>
    </r>
    <r>
      <rPr>
        <vertAlign val="subscript"/>
        <sz val="11"/>
        <color theme="1"/>
        <rFont val="Calibri"/>
        <family val="2"/>
        <scheme val="minor"/>
      </rPr>
      <t>min,i</t>
    </r>
  </si>
  <si>
    <t>Calibrated</t>
  </si>
  <si>
    <t>Pump curve calibration</t>
  </si>
  <si>
    <t>At least 3 known working point is needed at maximum frequency/rpm</t>
  </si>
  <si>
    <t>VFD low limit frequency is needed</t>
  </si>
  <si>
    <t>Pump curve is based on parabolic equations</t>
  </si>
  <si>
    <t>VFD is estimated based on curve shifting</t>
  </si>
  <si>
    <t>Based on the design flow demand from the process model, the actual pump curve coefficients will be calculated</t>
  </si>
  <si>
    <t>The flow head is calculated in the pipe following the pump in the process model (diameter, length, roughness, etc. needed)</t>
  </si>
  <si>
    <t>Datasheet calibrated pump settings</t>
  </si>
  <si>
    <t>Generated curve pump settings</t>
  </si>
  <si>
    <t>Tools provided for pump curve parameters calculation</t>
  </si>
  <si>
    <t>Calibration efficiency curve coefficient a at VFD limit</t>
  </si>
  <si>
    <t>Calibration efficiency curve coefficient b at VFD limit</t>
  </si>
  <si>
    <t>Calibration efficiency curve intercept at VFD limit</t>
  </si>
  <si>
    <t>Headloss curve turning point flow rate</t>
  </si>
  <si>
    <t>Headloss curve turning point headloss</t>
  </si>
  <si>
    <t>%</t>
  </si>
  <si>
    <r>
      <t>n</t>
    </r>
    <r>
      <rPr>
        <vertAlign val="subscript"/>
        <sz val="11"/>
        <color theme="1"/>
        <rFont val="Calibri"/>
        <family val="2"/>
        <scheme val="minor"/>
      </rPr>
      <t>installed</t>
    </r>
  </si>
  <si>
    <r>
      <t>n</t>
    </r>
    <r>
      <rPr>
        <vertAlign val="subscript"/>
        <sz val="11"/>
        <color theme="1"/>
        <rFont val="Calibri"/>
        <family val="2"/>
        <scheme val="minor"/>
      </rPr>
      <t>spare</t>
    </r>
  </si>
  <si>
    <t>Installed pumps</t>
  </si>
  <si>
    <t>Spare/Idle pumps from installed</t>
  </si>
  <si>
    <t>Required pump head</t>
  </si>
  <si>
    <t>Target pumped flow per pump</t>
  </si>
  <si>
    <t>Only active considered</t>
  </si>
  <si>
    <t>Target pumped flow from process model</t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</si>
  <si>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actual</t>
    </r>
  </si>
  <si>
    <t>Degradation correction</t>
  </si>
  <si>
    <t>Viscosity correction</t>
  </si>
  <si>
    <r>
      <t>a</t>
    </r>
    <r>
      <rPr>
        <vertAlign val="subscript"/>
        <sz val="11"/>
        <color theme="1"/>
        <rFont val="Calibri"/>
        <family val="2"/>
        <scheme val="minor"/>
      </rPr>
      <t>h,Q</t>
    </r>
  </si>
  <si>
    <r>
      <t>b</t>
    </r>
    <r>
      <rPr>
        <vertAlign val="subscript"/>
        <sz val="11"/>
        <color theme="1"/>
        <rFont val="Calibri"/>
        <family val="2"/>
        <scheme val="minor"/>
      </rPr>
      <t>h,Q</t>
    </r>
  </si>
  <si>
    <r>
      <t>c</t>
    </r>
    <r>
      <rPr>
        <vertAlign val="subscript"/>
        <sz val="11"/>
        <color theme="1"/>
        <rFont val="Calibri"/>
        <family val="2"/>
        <scheme val="minor"/>
      </rPr>
      <t>h,Q</t>
    </r>
  </si>
  <si>
    <r>
      <t>h = a</t>
    </r>
    <r>
      <rPr>
        <b/>
        <vertAlign val="subscript"/>
        <sz val="13"/>
        <color theme="3"/>
        <rFont val="Calibri"/>
        <family val="2"/>
        <scheme val="minor"/>
      </rPr>
      <t>h,Q</t>
    </r>
    <r>
      <rPr>
        <b/>
        <sz val="13"/>
        <color theme="3"/>
        <rFont val="Calibri"/>
        <family val="2"/>
        <scheme val="minor"/>
      </rPr>
      <t xml:space="preserve"> * Q</t>
    </r>
    <r>
      <rPr>
        <b/>
        <vertAlign val="subscript"/>
        <sz val="13"/>
        <color theme="3"/>
        <rFont val="Calibri"/>
        <family val="2"/>
        <scheme val="minor"/>
      </rPr>
      <t>pump</t>
    </r>
    <r>
      <rPr>
        <b/>
        <vertAlign val="superscript"/>
        <sz val="13"/>
        <color theme="3"/>
        <rFont val="Calibri"/>
        <family val="2"/>
        <scheme val="minor"/>
      </rPr>
      <t>2</t>
    </r>
    <r>
      <rPr>
        <b/>
        <sz val="13"/>
        <color theme="3"/>
        <rFont val="Calibri"/>
        <family val="2"/>
        <scheme val="minor"/>
      </rPr>
      <t xml:space="preserve"> + b</t>
    </r>
    <r>
      <rPr>
        <b/>
        <vertAlign val="subscript"/>
        <sz val="13"/>
        <color theme="3"/>
        <rFont val="Calibri"/>
        <family val="2"/>
        <scheme val="minor"/>
      </rPr>
      <t>h,Q</t>
    </r>
    <r>
      <rPr>
        <b/>
        <sz val="13"/>
        <color theme="3"/>
        <rFont val="Calibri"/>
        <family val="2"/>
        <scheme val="minor"/>
      </rPr>
      <t xml:space="preserve"> * Q</t>
    </r>
    <r>
      <rPr>
        <b/>
        <vertAlign val="subscript"/>
        <sz val="13"/>
        <color theme="3"/>
        <rFont val="Calibri"/>
        <family val="2"/>
        <scheme val="minor"/>
      </rPr>
      <t>pump</t>
    </r>
    <r>
      <rPr>
        <b/>
        <sz val="13"/>
        <color theme="3"/>
        <rFont val="Calibri"/>
        <family val="2"/>
        <scheme val="minor"/>
      </rPr>
      <t xml:space="preserve"> + c</t>
    </r>
    <r>
      <rPr>
        <b/>
        <vertAlign val="subscript"/>
        <sz val="13"/>
        <color theme="3"/>
        <rFont val="Calibri"/>
        <family val="2"/>
        <scheme val="minor"/>
      </rPr>
      <t>h,Q</t>
    </r>
  </si>
  <si>
    <r>
      <t>h = a</t>
    </r>
    <r>
      <rPr>
        <b/>
        <vertAlign val="subscript"/>
        <sz val="12"/>
        <color theme="3"/>
        <rFont val="Calibri"/>
        <family val="2"/>
        <scheme val="minor"/>
      </rPr>
      <t>h,Q</t>
    </r>
    <r>
      <rPr>
        <b/>
        <sz val="12"/>
        <color theme="3"/>
        <rFont val="Calibri"/>
        <family val="2"/>
        <scheme val="minor"/>
      </rPr>
      <t xml:space="preserve"> * Q</t>
    </r>
    <r>
      <rPr>
        <b/>
        <vertAlign val="subscript"/>
        <sz val="12"/>
        <color theme="3"/>
        <rFont val="Calibri"/>
        <family val="2"/>
        <scheme val="minor"/>
      </rPr>
      <t>pump</t>
    </r>
    <r>
      <rPr>
        <b/>
        <vertAlign val="superscript"/>
        <sz val="12"/>
        <color theme="3"/>
        <rFont val="Calibri"/>
        <family val="2"/>
        <scheme val="minor"/>
      </rPr>
      <t>2</t>
    </r>
    <r>
      <rPr>
        <b/>
        <sz val="12"/>
        <color theme="3"/>
        <rFont val="Calibri"/>
        <family val="2"/>
        <scheme val="minor"/>
      </rPr>
      <t xml:space="preserve"> + b</t>
    </r>
    <r>
      <rPr>
        <b/>
        <vertAlign val="subscript"/>
        <sz val="12"/>
        <color theme="3"/>
        <rFont val="Calibri"/>
        <family val="2"/>
        <scheme val="minor"/>
      </rPr>
      <t>h,Q</t>
    </r>
    <r>
      <rPr>
        <b/>
        <sz val="12"/>
        <color theme="3"/>
        <rFont val="Calibri"/>
        <family val="2"/>
        <scheme val="minor"/>
      </rPr>
      <t xml:space="preserve"> * Q</t>
    </r>
    <r>
      <rPr>
        <b/>
        <vertAlign val="subscript"/>
        <sz val="12"/>
        <color theme="3"/>
        <rFont val="Calibri"/>
        <family val="2"/>
        <scheme val="minor"/>
      </rPr>
      <t>pump</t>
    </r>
    <r>
      <rPr>
        <b/>
        <sz val="12"/>
        <color theme="3"/>
        <rFont val="Calibri"/>
        <family val="2"/>
        <scheme val="minor"/>
      </rPr>
      <t xml:space="preserve"> + c</t>
    </r>
    <r>
      <rPr>
        <b/>
        <vertAlign val="subscript"/>
        <sz val="12"/>
        <color theme="3"/>
        <rFont val="Calibri"/>
        <family val="2"/>
        <scheme val="minor"/>
      </rPr>
      <t>h,Q</t>
    </r>
  </si>
  <si>
    <t>Pump curve parameters for efficiency at VFD limit</t>
  </si>
  <si>
    <r>
      <rPr>
        <b/>
        <sz val="10"/>
        <color theme="3"/>
        <rFont val="Symbol"/>
        <family val="1"/>
        <charset val="2"/>
      </rPr>
      <t>h</t>
    </r>
    <r>
      <rPr>
        <b/>
        <sz val="10"/>
        <color theme="3"/>
        <rFont val="Calibri"/>
        <family val="2"/>
        <scheme val="minor"/>
      </rPr>
      <t xml:space="preserve"> = a</t>
    </r>
    <r>
      <rPr>
        <b/>
        <vertAlign val="subscript"/>
        <sz val="10"/>
        <color theme="3"/>
        <rFont val="Symbol"/>
        <family val="1"/>
        <charset val="2"/>
      </rPr>
      <t>h</t>
    </r>
    <r>
      <rPr>
        <b/>
        <vertAlign val="subscript"/>
        <sz val="10"/>
        <color theme="3"/>
        <rFont val="Calibri"/>
        <family val="2"/>
        <scheme val="minor"/>
      </rPr>
      <t>,Q,VFD</t>
    </r>
    <r>
      <rPr>
        <b/>
        <sz val="10"/>
        <color theme="3"/>
        <rFont val="Calibri"/>
        <family val="2"/>
        <scheme val="minor"/>
      </rPr>
      <t xml:space="preserve"> * Q</t>
    </r>
    <r>
      <rPr>
        <b/>
        <vertAlign val="subscript"/>
        <sz val="10"/>
        <color theme="3"/>
        <rFont val="Calibri"/>
        <family val="2"/>
        <scheme val="minor"/>
      </rPr>
      <t>pump</t>
    </r>
    <r>
      <rPr>
        <b/>
        <vertAlign val="superscript"/>
        <sz val="10"/>
        <color theme="3"/>
        <rFont val="Calibri"/>
        <family val="2"/>
        <scheme val="minor"/>
      </rPr>
      <t>2</t>
    </r>
    <r>
      <rPr>
        <b/>
        <sz val="10"/>
        <color theme="3"/>
        <rFont val="Calibri"/>
        <family val="2"/>
        <scheme val="minor"/>
      </rPr>
      <t xml:space="preserve"> + b</t>
    </r>
    <r>
      <rPr>
        <b/>
        <vertAlign val="subscript"/>
        <sz val="10"/>
        <color theme="3"/>
        <rFont val="Symbol"/>
        <family val="1"/>
        <charset val="2"/>
      </rPr>
      <t>h</t>
    </r>
    <r>
      <rPr>
        <b/>
        <vertAlign val="subscript"/>
        <sz val="10"/>
        <color theme="3"/>
        <rFont val="Calibri"/>
        <family val="2"/>
        <scheme val="minor"/>
      </rPr>
      <t>,Q,VFD</t>
    </r>
    <r>
      <rPr>
        <b/>
        <sz val="10"/>
        <color theme="3"/>
        <rFont val="Calibri"/>
        <family val="2"/>
        <scheme val="minor"/>
      </rPr>
      <t xml:space="preserve"> * Q</t>
    </r>
    <r>
      <rPr>
        <b/>
        <vertAlign val="subscript"/>
        <sz val="10"/>
        <color theme="3"/>
        <rFont val="Calibri"/>
        <family val="2"/>
        <scheme val="minor"/>
      </rPr>
      <t>pump</t>
    </r>
    <r>
      <rPr>
        <b/>
        <sz val="10"/>
        <color theme="3"/>
        <rFont val="Calibri"/>
        <family val="2"/>
        <scheme val="minor"/>
      </rPr>
      <t xml:space="preserve"> + c</t>
    </r>
    <r>
      <rPr>
        <b/>
        <vertAlign val="subscript"/>
        <sz val="10"/>
        <color theme="3"/>
        <rFont val="Symbol"/>
        <family val="1"/>
        <charset val="2"/>
      </rPr>
      <t>h</t>
    </r>
    <r>
      <rPr>
        <b/>
        <vertAlign val="subscript"/>
        <sz val="10"/>
        <color theme="3"/>
        <rFont val="Calibri"/>
        <family val="2"/>
        <scheme val="minor"/>
      </rPr>
      <t>,Q,VFD</t>
    </r>
  </si>
  <si>
    <r>
      <rPr>
        <b/>
        <sz val="12"/>
        <color theme="3"/>
        <rFont val="Symbol"/>
        <family val="1"/>
        <charset val="2"/>
      </rPr>
      <t>h</t>
    </r>
    <r>
      <rPr>
        <b/>
        <sz val="12"/>
        <color theme="3"/>
        <rFont val="Calibri"/>
        <family val="2"/>
        <scheme val="minor"/>
      </rPr>
      <t xml:space="preserve"> = a</t>
    </r>
    <r>
      <rPr>
        <b/>
        <vertAlign val="subscript"/>
        <sz val="12"/>
        <color theme="3"/>
        <rFont val="Symbol"/>
        <family val="1"/>
        <charset val="2"/>
      </rPr>
      <t>h</t>
    </r>
    <r>
      <rPr>
        <b/>
        <vertAlign val="subscript"/>
        <sz val="12"/>
        <color theme="3"/>
        <rFont val="Calibri"/>
        <family val="2"/>
        <scheme val="minor"/>
      </rPr>
      <t>,Q</t>
    </r>
    <r>
      <rPr>
        <b/>
        <sz val="12"/>
        <color theme="3"/>
        <rFont val="Calibri"/>
        <family val="2"/>
        <scheme val="minor"/>
      </rPr>
      <t xml:space="preserve"> * Q</t>
    </r>
    <r>
      <rPr>
        <b/>
        <vertAlign val="subscript"/>
        <sz val="12"/>
        <color theme="3"/>
        <rFont val="Calibri"/>
        <family val="2"/>
        <scheme val="minor"/>
      </rPr>
      <t>pump</t>
    </r>
    <r>
      <rPr>
        <b/>
        <vertAlign val="superscript"/>
        <sz val="12"/>
        <color theme="3"/>
        <rFont val="Calibri"/>
        <family val="2"/>
        <scheme val="minor"/>
      </rPr>
      <t>2</t>
    </r>
    <r>
      <rPr>
        <b/>
        <sz val="12"/>
        <color theme="3"/>
        <rFont val="Calibri"/>
        <family val="2"/>
        <scheme val="minor"/>
      </rPr>
      <t xml:space="preserve"> + b</t>
    </r>
    <r>
      <rPr>
        <b/>
        <vertAlign val="subscript"/>
        <sz val="12"/>
        <color theme="3"/>
        <rFont val="Symbol"/>
        <family val="1"/>
        <charset val="2"/>
      </rPr>
      <t>h</t>
    </r>
    <r>
      <rPr>
        <b/>
        <vertAlign val="subscript"/>
        <sz val="12"/>
        <color theme="3"/>
        <rFont val="Calibri"/>
        <family val="2"/>
        <scheme val="minor"/>
      </rPr>
      <t>,Q</t>
    </r>
    <r>
      <rPr>
        <b/>
        <sz val="12"/>
        <color theme="3"/>
        <rFont val="Calibri"/>
        <family val="2"/>
        <scheme val="minor"/>
      </rPr>
      <t xml:space="preserve"> * Q</t>
    </r>
    <r>
      <rPr>
        <b/>
        <vertAlign val="subscript"/>
        <sz val="12"/>
        <color theme="3"/>
        <rFont val="Calibri"/>
        <family val="2"/>
        <scheme val="minor"/>
      </rPr>
      <t>pump</t>
    </r>
    <r>
      <rPr>
        <b/>
        <sz val="12"/>
        <color theme="3"/>
        <rFont val="Calibri"/>
        <family val="2"/>
        <scheme val="minor"/>
      </rPr>
      <t xml:space="preserve"> + c</t>
    </r>
    <r>
      <rPr>
        <b/>
        <vertAlign val="subscript"/>
        <sz val="12"/>
        <color theme="3"/>
        <rFont val="Symbol"/>
        <family val="1"/>
        <charset val="2"/>
      </rPr>
      <t>h</t>
    </r>
    <r>
      <rPr>
        <b/>
        <vertAlign val="subscript"/>
        <sz val="12"/>
        <color theme="3"/>
        <rFont val="Calibri"/>
        <family val="2"/>
        <scheme val="minor"/>
      </rPr>
      <t>,Q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</si>
  <si>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/d</t>
    </r>
  </si>
  <si>
    <t>2.</t>
  </si>
  <si>
    <t>1.</t>
  </si>
  <si>
    <r>
      <t>n</t>
    </r>
    <r>
      <rPr>
        <vertAlign val="subscript"/>
        <sz val="11"/>
        <rFont val="Calibri"/>
        <family val="2"/>
        <scheme val="minor"/>
      </rPr>
      <t>installed</t>
    </r>
  </si>
  <si>
    <r>
      <t>n</t>
    </r>
    <r>
      <rPr>
        <vertAlign val="subscript"/>
        <sz val="11"/>
        <rFont val="Calibri"/>
        <family val="2"/>
        <scheme val="minor"/>
      </rPr>
      <t>active,min</t>
    </r>
  </si>
  <si>
    <r>
      <t>Q</t>
    </r>
    <r>
      <rPr>
        <vertAlign val="subscript"/>
        <sz val="11"/>
        <color theme="1"/>
        <rFont val="Calibri"/>
        <family val="2"/>
        <scheme val="minor"/>
      </rPr>
      <t>cal,low</t>
    </r>
  </si>
  <si>
    <r>
      <t>h</t>
    </r>
    <r>
      <rPr>
        <vertAlign val="subscript"/>
        <sz val="11"/>
        <color theme="1"/>
        <rFont val="Calibri"/>
        <family val="2"/>
        <scheme val="minor"/>
      </rPr>
      <t>cal,Qlow</t>
    </r>
  </si>
  <si>
    <r>
      <rPr>
        <sz val="11"/>
        <color theme="1"/>
        <rFont val="Calibri"/>
        <family val="2"/>
        <scheme val="minor"/>
      </rPr>
      <t>ƞ</t>
    </r>
    <r>
      <rPr>
        <vertAlign val="subscript"/>
        <sz val="11"/>
        <color theme="1"/>
        <rFont val="Calibri"/>
        <family val="2"/>
        <scheme val="minor"/>
      </rPr>
      <t>cal,hlow</t>
    </r>
  </si>
  <si>
    <r>
      <t>Q</t>
    </r>
    <r>
      <rPr>
        <vertAlign val="subscript"/>
        <sz val="11"/>
        <color theme="1"/>
        <rFont val="Calibri"/>
        <family val="2"/>
        <scheme val="minor"/>
      </rPr>
      <t>cal,op</t>
    </r>
  </si>
  <si>
    <r>
      <t>h</t>
    </r>
    <r>
      <rPr>
        <vertAlign val="subscript"/>
        <sz val="11"/>
        <color theme="1"/>
        <rFont val="Calibri"/>
        <family val="2"/>
        <scheme val="minor"/>
      </rPr>
      <t>cal,Qop</t>
    </r>
  </si>
  <si>
    <r>
      <rPr>
        <sz val="11"/>
        <color theme="1"/>
        <rFont val="Calibri"/>
        <family val="2"/>
        <scheme val="minor"/>
      </rPr>
      <t>ƞ</t>
    </r>
    <r>
      <rPr>
        <vertAlign val="subscript"/>
        <sz val="11"/>
        <color theme="1"/>
        <rFont val="Calibri"/>
        <family val="2"/>
        <scheme val="minor"/>
      </rPr>
      <t>cal,hop</t>
    </r>
  </si>
  <si>
    <r>
      <t>Q</t>
    </r>
    <r>
      <rPr>
        <vertAlign val="subscript"/>
        <sz val="11"/>
        <color theme="1"/>
        <rFont val="Calibri"/>
        <family val="2"/>
        <scheme val="minor"/>
      </rPr>
      <t>cal,high</t>
    </r>
  </si>
  <si>
    <r>
      <t>h</t>
    </r>
    <r>
      <rPr>
        <vertAlign val="subscript"/>
        <sz val="11"/>
        <color theme="1"/>
        <rFont val="Calibri"/>
        <family val="2"/>
        <scheme val="minor"/>
      </rPr>
      <t>cal,Qhigh</t>
    </r>
  </si>
  <si>
    <r>
      <rPr>
        <sz val="11"/>
        <color theme="1"/>
        <rFont val="Calibri"/>
        <family val="2"/>
        <scheme val="minor"/>
      </rPr>
      <t>ƞ</t>
    </r>
    <r>
      <rPr>
        <vertAlign val="subscript"/>
        <sz val="11"/>
        <color theme="1"/>
        <rFont val="Calibri"/>
        <family val="2"/>
        <scheme val="minor"/>
      </rPr>
      <t>cal,hhigh</t>
    </r>
  </si>
  <si>
    <r>
      <t>Q</t>
    </r>
    <r>
      <rPr>
        <vertAlign val="subscript"/>
        <sz val="11"/>
        <color theme="1"/>
        <rFont val="Calibri"/>
        <family val="2"/>
        <scheme val="minor"/>
      </rPr>
      <t>cal,VFD,mid</t>
    </r>
  </si>
  <si>
    <r>
      <t>h</t>
    </r>
    <r>
      <rPr>
        <vertAlign val="subscript"/>
        <sz val="11"/>
        <color theme="1"/>
        <rFont val="Calibri"/>
        <family val="2"/>
        <scheme val="minor"/>
      </rPr>
      <t>cal,VFD,mid</t>
    </r>
  </si>
  <si>
    <r>
      <rPr>
        <sz val="11"/>
        <color theme="1"/>
        <rFont val="Calibri"/>
        <family val="2"/>
        <scheme val="minor"/>
      </rPr>
      <t>ƞ</t>
    </r>
    <r>
      <rPr>
        <vertAlign val="subscript"/>
        <sz val="11"/>
        <color theme="1"/>
        <rFont val="Calibri"/>
        <family val="2"/>
        <scheme val="minor"/>
      </rPr>
      <t>cal,VFD,mid</t>
    </r>
  </si>
  <si>
    <r>
      <t>Q</t>
    </r>
    <r>
      <rPr>
        <vertAlign val="subscript"/>
        <sz val="11"/>
        <color theme="1"/>
        <rFont val="Calibri"/>
        <family val="2"/>
        <scheme val="minor"/>
      </rPr>
      <t>cal,VFD,low</t>
    </r>
  </si>
  <si>
    <r>
      <rPr>
        <sz val="11"/>
        <color theme="1"/>
        <rFont val="Calibri"/>
        <family val="2"/>
        <scheme val="minor"/>
      </rPr>
      <t>ƞ</t>
    </r>
    <r>
      <rPr>
        <vertAlign val="subscript"/>
        <sz val="11"/>
        <color theme="1"/>
        <rFont val="Calibri"/>
        <family val="2"/>
        <scheme val="minor"/>
      </rPr>
      <t>cal,VFD,low</t>
    </r>
  </si>
  <si>
    <r>
      <t>Q</t>
    </r>
    <r>
      <rPr>
        <vertAlign val="subscript"/>
        <sz val="11"/>
        <color theme="1"/>
        <rFont val="Calibri"/>
        <family val="2"/>
        <scheme val="minor"/>
      </rPr>
      <t>cal,VFD,high</t>
    </r>
  </si>
  <si>
    <r>
      <rPr>
        <sz val="11"/>
        <color theme="1"/>
        <rFont val="Calibri"/>
        <family val="2"/>
        <scheme val="minor"/>
      </rPr>
      <t>ƞ</t>
    </r>
    <r>
      <rPr>
        <vertAlign val="subscript"/>
        <sz val="11"/>
        <color theme="1"/>
        <rFont val="Calibri"/>
        <family val="2"/>
        <scheme val="minor"/>
      </rPr>
      <t>cal,VFD,high</t>
    </r>
  </si>
  <si>
    <t>Flow at the low flow calibration point</t>
  </si>
  <si>
    <t>Head at the low flow calibration points</t>
  </si>
  <si>
    <t>Total efficiency at the low flow calibration points</t>
  </si>
  <si>
    <t>Flow at the operating flow calibration point</t>
  </si>
  <si>
    <t>Head at the operating flow calibration points</t>
  </si>
  <si>
    <t>Total efficiency at the operating flow calibration points</t>
  </si>
  <si>
    <t>Flow at the high flow calibration point</t>
  </si>
  <si>
    <t>Head at the high flow calibration points</t>
  </si>
  <si>
    <t>Total efficiency at the high flow calibration points</t>
  </si>
  <si>
    <t>Flow at the operating flow calibration point with Variable Frequency Drive</t>
  </si>
  <si>
    <t>Head at the operating flow calibration points with Variable Frequency Drive</t>
  </si>
  <si>
    <t>Total efficiency at the operating flow calibration points with Variable Frequency Drive</t>
  </si>
  <si>
    <t>Flow at the low flow calibration point with Variable Frequency Drive</t>
  </si>
  <si>
    <t>Total efficiency at the low flow calibration points with Variable Frequency Drive</t>
  </si>
  <si>
    <t>Flow at the high flow calibration point with Variable Frequency Drive</t>
  </si>
  <si>
    <t>Total efficiency at the high flow calibration points with Variable Frequency Drive</t>
  </si>
  <si>
    <t>Geometric/Static head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</si>
  <si>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geom</t>
    </r>
  </si>
  <si>
    <t>dhl</t>
  </si>
  <si>
    <r>
      <t>h</t>
    </r>
    <r>
      <rPr>
        <vertAlign val="subscript"/>
        <sz val="11"/>
        <color theme="1"/>
        <rFont val="Calibri"/>
        <family val="2"/>
        <scheme val="minor"/>
      </rPr>
      <t>loss,pump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</si>
</sst>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"/>
    <numFmt numFmtId="165" formatCode="0.000"/>
    <numFmt numFmtId="166" formatCode="0.0E+00"/>
    <numFmt numFmtId="167" formatCode="0.00000"/>
    <numFmt numFmtId="168" formatCode="0.0000"/>
    <numFmt numFmtId="169" formatCode="#,##0.0"/>
    <numFmt numFmtId="170" formatCode="0.0%"/>
    <numFmt numFmtId="171" formatCode="_-* #,##0.00\ _€_-;\-* #,##0.00\ _€_-;_-* &quot;-&quot;??\ _€_-;_-@_-"/>
    <numFmt numFmtId="172" formatCode="0.00000000000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vertAlign val="subscript"/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name val="Calibri"/>
      <family val="2"/>
      <scheme val="minor"/>
    </font>
    <font>
      <b/>
      <vertAlign val="subscript"/>
      <sz val="13"/>
      <color theme="3"/>
      <name val="Calibri"/>
      <family val="2"/>
      <scheme val="minor"/>
    </font>
    <font>
      <b/>
      <vertAlign val="superscript"/>
      <sz val="13"/>
      <color theme="3"/>
      <name val="Calibri"/>
      <family val="2"/>
      <scheme val="minor"/>
    </font>
    <font>
      <b/>
      <sz val="13"/>
      <color theme="3"/>
      <name val="Symbol"/>
      <family val="1"/>
      <charset val="2"/>
    </font>
    <font>
      <b/>
      <vertAlign val="subscript"/>
      <sz val="13"/>
      <color theme="3"/>
      <name val="Symbol"/>
      <family val="1"/>
      <charset val="2"/>
    </font>
    <font>
      <b/>
      <sz val="13"/>
      <color theme="3"/>
      <name val="Calibri"/>
      <family val="1"/>
      <charset val="2"/>
      <scheme val="minor"/>
    </font>
    <font>
      <b/>
      <sz val="11"/>
      <color theme="3"/>
      <name val="Calibri"/>
      <family val="1"/>
      <charset val="2"/>
      <scheme val="minor"/>
    </font>
    <font>
      <b/>
      <sz val="11"/>
      <color theme="3"/>
      <name val="Symbol"/>
      <family val="1"/>
      <charset val="2"/>
    </font>
    <font>
      <b/>
      <vertAlign val="subscript"/>
      <sz val="11"/>
      <color theme="3"/>
      <name val="Symbol"/>
      <family val="1"/>
      <charset val="2"/>
    </font>
    <font>
      <b/>
      <vertAlign val="subscript"/>
      <sz val="11"/>
      <color theme="3"/>
      <name val="Calibri"/>
      <family val="2"/>
      <scheme val="minor"/>
    </font>
    <font>
      <b/>
      <vertAlign val="superscript"/>
      <sz val="11"/>
      <color theme="3"/>
      <name val="Calibri"/>
      <family val="2"/>
      <scheme val="minor"/>
    </font>
    <font>
      <b/>
      <sz val="10"/>
      <color theme="3"/>
      <name val="Calibri"/>
      <family val="1"/>
      <charset val="2"/>
      <scheme val="minor"/>
    </font>
    <font>
      <b/>
      <sz val="10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vertAlign val="subscript"/>
      <sz val="12"/>
      <color theme="3"/>
      <name val="Calibri"/>
      <family val="2"/>
      <scheme val="minor"/>
    </font>
    <font>
      <b/>
      <vertAlign val="superscript"/>
      <sz val="12"/>
      <color theme="3"/>
      <name val="Calibri"/>
      <family val="2"/>
      <scheme val="minor"/>
    </font>
    <font>
      <b/>
      <sz val="10"/>
      <color theme="3"/>
      <name val="Symbol"/>
      <family val="1"/>
      <charset val="2"/>
    </font>
    <font>
      <b/>
      <vertAlign val="subscript"/>
      <sz val="10"/>
      <color theme="3"/>
      <name val="Symbol"/>
      <family val="1"/>
      <charset val="2"/>
    </font>
    <font>
      <b/>
      <vertAlign val="subscript"/>
      <sz val="10"/>
      <color theme="3"/>
      <name val="Calibri"/>
      <family val="2"/>
      <scheme val="minor"/>
    </font>
    <font>
      <b/>
      <vertAlign val="superscript"/>
      <sz val="10"/>
      <color theme="3"/>
      <name val="Calibri"/>
      <family val="2"/>
      <scheme val="minor"/>
    </font>
    <font>
      <b/>
      <sz val="12"/>
      <color theme="3"/>
      <name val="Calibri"/>
      <family val="1"/>
      <charset val="2"/>
      <scheme val="minor"/>
    </font>
    <font>
      <b/>
      <sz val="12"/>
      <color theme="3"/>
      <name val="Symbol"/>
      <family val="1"/>
      <charset val="2"/>
    </font>
    <font>
      <b/>
      <vertAlign val="subscript"/>
      <sz val="12"/>
      <color theme="3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n">
        <color rgb="FF7F7F7F"/>
      </top>
      <bottom/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8" fillId="4" borderId="0" applyNumberFormat="0" applyBorder="0" applyAlignment="0" applyProtection="0"/>
    <xf numFmtId="171" fontId="1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16">
    <xf numFmtId="0" fontId="0" fillId="0" borderId="0" xfId="0"/>
    <xf numFmtId="0" fontId="4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9" fillId="0" borderId="0" xfId="0" applyFont="1"/>
    <xf numFmtId="0" fontId="10" fillId="0" borderId="0" xfId="0" applyFont="1"/>
    <xf numFmtId="3" fontId="0" fillId="0" borderId="0" xfId="0" applyNumberFormat="1"/>
    <xf numFmtId="0" fontId="5" fillId="0" borderId="0" xfId="0" applyFont="1"/>
    <xf numFmtId="166" fontId="0" fillId="0" borderId="0" xfId="0" applyNumberFormat="1"/>
    <xf numFmtId="9" fontId="4" fillId="0" borderId="0" xfId="0" applyNumberFormat="1" applyFont="1"/>
    <xf numFmtId="167" fontId="0" fillId="0" borderId="0" xfId="0" applyNumberFormat="1"/>
    <xf numFmtId="165" fontId="11" fillId="0" borderId="0" xfId="0" applyNumberFormat="1" applyFont="1"/>
    <xf numFmtId="168" fontId="0" fillId="0" borderId="0" xfId="0" applyNumberFormat="1"/>
    <xf numFmtId="0" fontId="2" fillId="2" borderId="0" xfId="1" applyBorder="1" applyAlignment="1">
      <alignment horizontal="right"/>
    </xf>
    <xf numFmtId="169" fontId="3" fillId="3" borderId="0" xfId="2" applyNumberFormat="1" applyBorder="1"/>
    <xf numFmtId="4" fontId="3" fillId="3" borderId="0" xfId="2" applyNumberFormat="1" applyBorder="1"/>
    <xf numFmtId="9" fontId="2" fillId="2" borderId="0" xfId="4" applyFont="1" applyFill="1" applyBorder="1" applyAlignment="1">
      <alignment horizontal="right"/>
    </xf>
    <xf numFmtId="9" fontId="0" fillId="0" borderId="0" xfId="4" applyFont="1"/>
    <xf numFmtId="0" fontId="13" fillId="0" borderId="2" xfId="5"/>
    <xf numFmtId="0" fontId="13" fillId="0" borderId="2" xfId="5" applyAlignment="1">
      <alignment horizontal="center"/>
    </xf>
    <xf numFmtId="0" fontId="15" fillId="0" borderId="4" xfId="7"/>
    <xf numFmtId="1" fontId="15" fillId="0" borderId="4" xfId="7" applyNumberFormat="1" applyAlignment="1">
      <alignment horizontal="center"/>
    </xf>
    <xf numFmtId="0" fontId="17" fillId="0" borderId="0" xfId="0" applyFont="1"/>
    <xf numFmtId="0" fontId="14" fillId="0" borderId="3" xfId="6"/>
    <xf numFmtId="0" fontId="14" fillId="0" borderId="3" xfId="6" applyAlignment="1">
      <alignment horizontal="center"/>
    </xf>
    <xf numFmtId="9" fontId="3" fillId="3" borderId="0" xfId="4" applyFont="1" applyFill="1" applyBorder="1"/>
    <xf numFmtId="170" fontId="3" fillId="3" borderId="0" xfId="4" applyNumberFormat="1" applyFont="1" applyFill="1" applyBorder="1"/>
    <xf numFmtId="2" fontId="3" fillId="3" borderId="0" xfId="2" applyNumberFormat="1" applyBorder="1"/>
    <xf numFmtId="164" fontId="3" fillId="3" borderId="0" xfId="2" applyNumberFormat="1" applyBorder="1"/>
    <xf numFmtId="164" fontId="2" fillId="2" borderId="0" xfId="1" applyNumberFormat="1" applyBorder="1" applyAlignment="1">
      <alignment horizontal="right"/>
    </xf>
    <xf numFmtId="166" fontId="3" fillId="3" borderId="0" xfId="2" applyNumberFormat="1" applyBorder="1"/>
    <xf numFmtId="164" fontId="16" fillId="4" borderId="0" xfId="8" applyNumberFormat="1" applyFont="1" applyBorder="1"/>
    <xf numFmtId="9" fontId="0" fillId="0" borderId="0" xfId="4" applyFont="1" applyBorder="1"/>
    <xf numFmtId="165" fontId="16" fillId="4" borderId="0" xfId="8" applyNumberFormat="1" applyFont="1" applyBorder="1"/>
    <xf numFmtId="0" fontId="13" fillId="0" borderId="2" xfId="5" applyFill="1"/>
    <xf numFmtId="0" fontId="15" fillId="0" borderId="4" xfId="7" applyFill="1"/>
    <xf numFmtId="0" fontId="0" fillId="0" borderId="0" xfId="0" applyFill="1"/>
    <xf numFmtId="0" fontId="17" fillId="0" borderId="0" xfId="0" applyFont="1" applyFill="1"/>
    <xf numFmtId="0" fontId="14" fillId="0" borderId="3" xfId="6" applyFill="1"/>
    <xf numFmtId="0" fontId="19" fillId="0" borderId="0" xfId="0" applyFont="1" applyFill="1"/>
    <xf numFmtId="0" fontId="0" fillId="0" borderId="0" xfId="0" applyAlignment="1">
      <alignment horizontal="left" vertical="center"/>
    </xf>
    <xf numFmtId="0" fontId="13" fillId="0" borderId="2" xfId="5" applyAlignment="1">
      <alignment vertical="center"/>
    </xf>
    <xf numFmtId="0" fontId="13" fillId="0" borderId="2" xfId="5" applyFill="1" applyAlignment="1">
      <alignment horizontal="left" vertical="center"/>
    </xf>
    <xf numFmtId="0" fontId="13" fillId="0" borderId="2" xfId="5" applyAlignment="1">
      <alignment horizontal="center" vertical="center"/>
    </xf>
    <xf numFmtId="0" fontId="0" fillId="0" borderId="0" xfId="0" applyAlignment="1">
      <alignment vertical="center"/>
    </xf>
    <xf numFmtId="0" fontId="15" fillId="0" borderId="4" xfId="7" applyAlignment="1">
      <alignment vertical="center"/>
    </xf>
    <xf numFmtId="0" fontId="15" fillId="0" borderId="4" xfId="7" applyFill="1" applyAlignment="1">
      <alignment horizontal="left" vertical="center"/>
    </xf>
    <xf numFmtId="1" fontId="15" fillId="0" borderId="4" xfId="7" applyNumberForma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3" fillId="3" borderId="0" xfId="4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4" fillId="0" borderId="3" xfId="6" applyFill="1" applyAlignment="1">
      <alignment horizontal="left" vertical="center"/>
    </xf>
    <xf numFmtId="0" fontId="14" fillId="0" borderId="3" xfId="6" applyFill="1" applyAlignment="1">
      <alignment vertical="center"/>
    </xf>
    <xf numFmtId="0" fontId="0" fillId="0" borderId="0" xfId="0" applyFill="1" applyAlignment="1">
      <alignment vertical="center"/>
    </xf>
    <xf numFmtId="0" fontId="22" fillId="5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9" fontId="0" fillId="0" borderId="0" xfId="0" applyNumberFormat="1" applyAlignment="1">
      <alignment vertical="center"/>
    </xf>
    <xf numFmtId="9" fontId="0" fillId="5" borderId="0" xfId="4" applyFont="1" applyFill="1" applyAlignment="1">
      <alignment vertical="center"/>
    </xf>
    <xf numFmtId="9" fontId="0" fillId="0" borderId="0" xfId="4" applyFont="1" applyAlignment="1">
      <alignment vertical="center"/>
    </xf>
    <xf numFmtId="9" fontId="0" fillId="5" borderId="0" xfId="0" applyNumberForma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64" fontId="0" fillId="0" borderId="0" xfId="0" applyNumberFormat="1" applyAlignment="1">
      <alignment vertical="center"/>
    </xf>
    <xf numFmtId="170" fontId="0" fillId="0" borderId="0" xfId="4" applyNumberFormat="1" applyFont="1" applyAlignment="1">
      <alignment vertical="center"/>
    </xf>
    <xf numFmtId="1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5" fillId="0" borderId="4" xfId="7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9" fontId="23" fillId="0" borderId="0" xfId="4" applyFont="1" applyFill="1" applyBorder="1" applyAlignment="1">
      <alignment vertical="center"/>
    </xf>
    <xf numFmtId="9" fontId="0" fillId="0" borderId="0" xfId="4" applyFont="1" applyFill="1" applyBorder="1" applyAlignment="1">
      <alignment vertical="center"/>
    </xf>
    <xf numFmtId="0" fontId="13" fillId="0" borderId="2" xfId="5" applyFill="1" applyAlignment="1">
      <alignment vertical="center"/>
    </xf>
    <xf numFmtId="0" fontId="0" fillId="0" borderId="0" xfId="0" applyAlignment="1">
      <alignment horizontal="center" vertical="center" shrinkToFit="1"/>
    </xf>
    <xf numFmtId="9" fontId="23" fillId="0" borderId="0" xfId="4" applyFont="1" applyAlignment="1">
      <alignment horizontal="center" vertical="center" shrinkToFit="1"/>
    </xf>
    <xf numFmtId="170" fontId="3" fillId="3" borderId="0" xfId="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Alignment="1">
      <alignment horizontal="right" vertical="center"/>
    </xf>
    <xf numFmtId="0" fontId="19" fillId="0" borderId="0" xfId="0" applyFont="1" applyFill="1" applyAlignment="1">
      <alignment vertical="center"/>
    </xf>
    <xf numFmtId="11" fontId="3" fillId="3" borderId="0" xfId="4" applyNumberFormat="1" applyFont="1" applyFill="1" applyBorder="1" applyAlignment="1">
      <alignment vertical="center"/>
    </xf>
    <xf numFmtId="164" fontId="2" fillId="2" borderId="0" xfId="1" applyNumberFormat="1" applyBorder="1" applyAlignment="1">
      <alignment vertical="center"/>
    </xf>
    <xf numFmtId="0" fontId="2" fillId="2" borderId="0" xfId="1" applyBorder="1" applyAlignment="1">
      <alignment vertical="center"/>
    </xf>
    <xf numFmtId="0" fontId="2" fillId="2" borderId="7" xfId="1" applyBorder="1" applyAlignment="1">
      <alignment vertical="center"/>
    </xf>
    <xf numFmtId="2" fontId="2" fillId="2" borderId="0" xfId="1" applyNumberFormat="1" applyBorder="1" applyAlignment="1">
      <alignment vertical="center"/>
    </xf>
    <xf numFmtId="9" fontId="2" fillId="2" borderId="7" xfId="4" applyFont="1" applyFill="1" applyBorder="1" applyAlignment="1">
      <alignment vertical="center"/>
    </xf>
    <xf numFmtId="9" fontId="2" fillId="2" borderId="0" xfId="4" applyFont="1" applyFill="1" applyBorder="1" applyAlignment="1">
      <alignment vertical="center"/>
    </xf>
    <xf numFmtId="2" fontId="16" fillId="4" borderId="0" xfId="8" applyNumberFormat="1" applyFont="1" applyBorder="1"/>
    <xf numFmtId="1" fontId="16" fillId="4" borderId="0" xfId="8" applyNumberFormat="1" applyFont="1" applyBorder="1"/>
    <xf numFmtId="0" fontId="0" fillId="0" borderId="0" xfId="0" quotePrefix="1" applyAlignment="1">
      <alignment horizontal="right"/>
    </xf>
    <xf numFmtId="3" fontId="2" fillId="2" borderId="7" xfId="1" applyNumberFormat="1" applyBorder="1" applyAlignment="1">
      <alignment vertical="center"/>
    </xf>
    <xf numFmtId="0" fontId="14" fillId="0" borderId="3" xfId="6" applyAlignment="1">
      <alignment horizontal="left"/>
    </xf>
    <xf numFmtId="0" fontId="13" fillId="0" borderId="2" xfId="5" applyAlignment="1">
      <alignment horizontal="left"/>
    </xf>
    <xf numFmtId="0" fontId="40" fillId="0" borderId="3" xfId="6" applyFont="1" applyAlignment="1">
      <alignment horizontal="left" vertical="center"/>
    </xf>
    <xf numFmtId="0" fontId="15" fillId="0" borderId="3" xfId="6" applyFont="1" applyAlignment="1">
      <alignment horizontal="left" vertical="center"/>
    </xf>
    <xf numFmtId="0" fontId="37" fillId="0" borderId="3" xfId="6" applyFont="1" applyAlignment="1">
      <alignment horizontal="left" vertical="center"/>
    </xf>
    <xf numFmtId="0" fontId="47" fillId="0" borderId="3" xfId="6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5" fillId="0" borderId="5" xfId="7" applyBorder="1" applyAlignment="1">
      <alignment horizontal="left" vertical="center"/>
    </xf>
    <xf numFmtId="0" fontId="14" fillId="0" borderId="3" xfId="6" applyAlignment="1">
      <alignment horizontal="left" vertical="center"/>
    </xf>
    <xf numFmtId="0" fontId="31" fillId="0" borderId="3" xfId="6" applyFont="1" applyAlignment="1">
      <alignment horizontal="left" vertical="center"/>
    </xf>
    <xf numFmtId="0" fontId="32" fillId="0" borderId="3" xfId="6" applyFont="1" applyAlignment="1">
      <alignment horizontal="left" vertical="center"/>
    </xf>
    <xf numFmtId="0" fontId="14" fillId="0" borderId="3" xfId="6" applyFill="1" applyAlignment="1">
      <alignment horizontal="left" vertical="center"/>
    </xf>
    <xf numFmtId="172" fontId="0" fillId="0" borderId="0" xfId="0" applyNumberFormat="1" applyAlignment="1">
      <alignment horizontal="left" vertical="center"/>
    </xf>
    <xf numFmtId="0" fontId="38" fillId="0" borderId="3" xfId="6" applyFont="1" applyAlignment="1">
      <alignment horizontal="left" vertical="center"/>
    </xf>
    <xf numFmtId="0" fontId="39" fillId="6" borderId="2" xfId="10" applyFont="1" applyBorder="1" applyAlignment="1">
      <alignment horizontal="left"/>
    </xf>
    <xf numFmtId="0" fontId="0" fillId="0" borderId="0" xfId="0" applyFill="1" applyAlignment="1">
      <alignment vertical="center" shrinkToFit="1"/>
    </xf>
    <xf numFmtId="0" fontId="21" fillId="0" borderId="0" xfId="0" applyFont="1" applyFill="1"/>
    <xf numFmtId="0" fontId="39" fillId="6" borderId="0" xfId="10" applyFont="1" applyBorder="1" applyAlignment="1">
      <alignment horizontal="left"/>
    </xf>
  </cellXfs>
  <cellStyles count="11">
    <cellStyle name="Accent1" xfId="10" builtinId="29"/>
    <cellStyle name="Accent3" xfId="8" builtinId="37"/>
    <cellStyle name="Calculation" xfId="2" builtinId="22"/>
    <cellStyle name="Comma 2" xfId="9" xr:uid="{849C8076-28AA-4BF7-92E2-9A2ADD188FB8}"/>
    <cellStyle name="Heading 1" xfId="5" builtinId="16"/>
    <cellStyle name="Heading 2" xfId="6" builtinId="17"/>
    <cellStyle name="Heading 3" xfId="7" builtinId="18"/>
    <cellStyle name="Input" xfId="1" builtinId="20"/>
    <cellStyle name="Komma 2" xfId="3" xr:uid="{7C7CD60D-543B-4126-8B8E-EAA7B663E59B}"/>
    <cellStyle name="Normal" xfId="0" builtinId="0"/>
    <cellStyle name="Percent" xfId="4" builtinId="5"/>
  </cellStyles>
  <dxfs count="3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6810993521385E-2"/>
          <c:y val="0.10460104166666667"/>
          <c:w val="0.89935678180416823"/>
          <c:h val="0.749606562951845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'Curve generation'!$AB$1</c:f>
              <c:strCache>
                <c:ptCount val="1"/>
                <c:pt idx="0">
                  <c:v>Flow head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'Curve generation'!$Y$2:$Y$17</c:f>
              <c:numCache>
                <c:formatCode>0.0</c:formatCode>
                <c:ptCount val="16"/>
                <c:pt idx="0" formatCode="General">
                  <c:v>0</c:v>
                </c:pt>
                <c:pt idx="1">
                  <c:v>31.481481481481477</c:v>
                </c:pt>
                <c:pt idx="2">
                  <c:v>62.962962962962955</c:v>
                </c:pt>
                <c:pt idx="3">
                  <c:v>94.444444444444429</c:v>
                </c:pt>
                <c:pt idx="4">
                  <c:v>125.92592592592591</c:v>
                </c:pt>
                <c:pt idx="5">
                  <c:v>157.40740740740739</c:v>
                </c:pt>
                <c:pt idx="6">
                  <c:v>188.88888888888886</c:v>
                </c:pt>
                <c:pt idx="7">
                  <c:v>220.37037037037032</c:v>
                </c:pt>
                <c:pt idx="8">
                  <c:v>251.85185185185179</c:v>
                </c:pt>
                <c:pt idx="9">
                  <c:v>283.33333333333326</c:v>
                </c:pt>
                <c:pt idx="10">
                  <c:v>314.81481481481472</c:v>
                </c:pt>
                <c:pt idx="11">
                  <c:v>346.29629629629619</c:v>
                </c:pt>
                <c:pt idx="12">
                  <c:v>377.77777777777766</c:v>
                </c:pt>
                <c:pt idx="13">
                  <c:v>409.25925925925912</c:v>
                </c:pt>
                <c:pt idx="14">
                  <c:v>440.74074074074059</c:v>
                </c:pt>
                <c:pt idx="15">
                  <c:v>472.22222222222217</c:v>
                </c:pt>
              </c:numCache>
            </c:numRef>
          </c:xVal>
          <c:yVal>
            <c:numRef>
              <c:f>'Curve generation'!$AB$2:$AB$17</c:f>
              <c:numCache>
                <c:formatCode>0.000</c:formatCode>
                <c:ptCount val="16"/>
                <c:pt idx="0">
                  <c:v>6</c:v>
                </c:pt>
                <c:pt idx="1">
                  <c:v>6.0012844444444449</c:v>
                </c:pt>
                <c:pt idx="2">
                  <c:v>6.0051377777777777</c:v>
                </c:pt>
                <c:pt idx="3">
                  <c:v>6.0115600000000002</c:v>
                </c:pt>
                <c:pt idx="4">
                  <c:v>6.0205511111111107</c:v>
                </c:pt>
                <c:pt idx="5">
                  <c:v>6.032111111111111</c:v>
                </c:pt>
                <c:pt idx="6">
                  <c:v>6.0462400000000001</c:v>
                </c:pt>
                <c:pt idx="7">
                  <c:v>6.062937777777778</c:v>
                </c:pt>
                <c:pt idx="8">
                  <c:v>6.0822044444444447</c:v>
                </c:pt>
                <c:pt idx="9">
                  <c:v>6.1040400000000004</c:v>
                </c:pt>
                <c:pt idx="10">
                  <c:v>6.1284444444444448</c:v>
                </c:pt>
                <c:pt idx="11">
                  <c:v>6.1554177777777781</c:v>
                </c:pt>
                <c:pt idx="12">
                  <c:v>6.1849600000000002</c:v>
                </c:pt>
                <c:pt idx="13">
                  <c:v>6.2170711111111112</c:v>
                </c:pt>
                <c:pt idx="14">
                  <c:v>6.251751111111111</c:v>
                </c:pt>
                <c:pt idx="15">
                  <c:v>6.2889999999999997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79-45F2-9094-0426E497D2D1}"/>
            </c:ext>
          </c:extLst>
        </c:ser>
        <c:ser>
          <c:idx val="1"/>
          <c:order val="1"/>
          <c:tx>
            <c:strRef>
              <c:f>'Curve generation'!$AC$1</c:f>
              <c:strCache>
                <c:ptCount val="1"/>
                <c:pt idx="0">
                  <c:v>Pump head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'Curve generation'!$Y$2:$Y$17</c:f>
              <c:numCache>
                <c:formatCode>0.0</c:formatCode>
                <c:ptCount val="16"/>
                <c:pt idx="0" formatCode="General">
                  <c:v>0</c:v>
                </c:pt>
                <c:pt idx="1">
                  <c:v>31.481481481481477</c:v>
                </c:pt>
                <c:pt idx="2">
                  <c:v>62.962962962962955</c:v>
                </c:pt>
                <c:pt idx="3">
                  <c:v>94.444444444444429</c:v>
                </c:pt>
                <c:pt idx="4">
                  <c:v>125.92592592592591</c:v>
                </c:pt>
                <c:pt idx="5">
                  <c:v>157.40740740740739</c:v>
                </c:pt>
                <c:pt idx="6">
                  <c:v>188.88888888888886</c:v>
                </c:pt>
                <c:pt idx="7">
                  <c:v>220.37037037037032</c:v>
                </c:pt>
                <c:pt idx="8">
                  <c:v>251.85185185185179</c:v>
                </c:pt>
                <c:pt idx="9">
                  <c:v>283.33333333333326</c:v>
                </c:pt>
                <c:pt idx="10">
                  <c:v>314.81481481481472</c:v>
                </c:pt>
                <c:pt idx="11">
                  <c:v>346.29629629629619</c:v>
                </c:pt>
                <c:pt idx="12">
                  <c:v>377.77777777777766</c:v>
                </c:pt>
                <c:pt idx="13">
                  <c:v>409.25925925925912</c:v>
                </c:pt>
                <c:pt idx="14">
                  <c:v>440.74074074074059</c:v>
                </c:pt>
                <c:pt idx="15">
                  <c:v>472.22222222222217</c:v>
                </c:pt>
              </c:numCache>
            </c:numRef>
          </c:xVal>
          <c:yVal>
            <c:numRef>
              <c:f>'Curve generation'!$AC$2:$AC$17</c:f>
              <c:numCache>
                <c:formatCode>0.000</c:formatCode>
                <c:ptCount val="16"/>
                <c:pt idx="0">
                  <c:v>10.37</c:v>
                </c:pt>
                <c:pt idx="1">
                  <c:v>10.148773333333333</c:v>
                </c:pt>
                <c:pt idx="2">
                  <c:v>9.8603885714285706</c:v>
                </c:pt>
                <c:pt idx="3">
                  <c:v>9.5048457142857146</c:v>
                </c:pt>
                <c:pt idx="4">
                  <c:v>9.0821447619047611</c:v>
                </c:pt>
                <c:pt idx="5">
                  <c:v>8.5922857142857154</c:v>
                </c:pt>
                <c:pt idx="6">
                  <c:v>8.0352685714285723</c:v>
                </c:pt>
                <c:pt idx="7">
                  <c:v>7.4110933333333344</c:v>
                </c:pt>
                <c:pt idx="8">
                  <c:v>6.7197600000000008</c:v>
                </c:pt>
                <c:pt idx="9">
                  <c:v>5.9612685714285725</c:v>
                </c:pt>
                <c:pt idx="10">
                  <c:v>5.1356190476190493</c:v>
                </c:pt>
                <c:pt idx="11">
                  <c:v>4.2428114285714305</c:v>
                </c:pt>
                <c:pt idx="12">
                  <c:v>3.2828457142857168</c:v>
                </c:pt>
                <c:pt idx="13">
                  <c:v>2.2557219047619075</c:v>
                </c:pt>
                <c:pt idx="14">
                  <c:v>1.1614400000000025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79-45F2-9094-0426E497D2D1}"/>
            </c:ext>
          </c:extLst>
        </c:ser>
        <c:ser>
          <c:idx val="3"/>
          <c:order val="3"/>
          <c:tx>
            <c:strRef>
              <c:f>'Curve generation'!$AD$1</c:f>
              <c:strCache>
                <c:ptCount val="1"/>
                <c:pt idx="0">
                  <c:v>Pump head at VFD limit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'Curve generation'!$Y$2:$Y$17</c:f>
              <c:numCache>
                <c:formatCode>0.0</c:formatCode>
                <c:ptCount val="16"/>
                <c:pt idx="0" formatCode="General">
                  <c:v>0</c:v>
                </c:pt>
                <c:pt idx="1">
                  <c:v>31.481481481481477</c:v>
                </c:pt>
                <c:pt idx="2">
                  <c:v>62.962962962962955</c:v>
                </c:pt>
                <c:pt idx="3">
                  <c:v>94.444444444444429</c:v>
                </c:pt>
                <c:pt idx="4">
                  <c:v>125.92592592592591</c:v>
                </c:pt>
                <c:pt idx="5">
                  <c:v>157.40740740740739</c:v>
                </c:pt>
                <c:pt idx="6">
                  <c:v>188.88888888888886</c:v>
                </c:pt>
                <c:pt idx="7">
                  <c:v>220.37037037037032</c:v>
                </c:pt>
                <c:pt idx="8">
                  <c:v>251.85185185185179</c:v>
                </c:pt>
                <c:pt idx="9">
                  <c:v>283.33333333333326</c:v>
                </c:pt>
                <c:pt idx="10">
                  <c:v>314.81481481481472</c:v>
                </c:pt>
                <c:pt idx="11">
                  <c:v>346.29629629629619</c:v>
                </c:pt>
                <c:pt idx="12">
                  <c:v>377.77777777777766</c:v>
                </c:pt>
                <c:pt idx="13">
                  <c:v>409.25925925925912</c:v>
                </c:pt>
                <c:pt idx="14">
                  <c:v>440.74074074074059</c:v>
                </c:pt>
                <c:pt idx="15">
                  <c:v>472.22222222222217</c:v>
                </c:pt>
              </c:numCache>
            </c:numRef>
          </c:xVal>
          <c:yVal>
            <c:numRef>
              <c:f>'Curve generation'!$AD$2:$AD$17</c:f>
              <c:numCache>
                <c:formatCode>0.000</c:formatCode>
                <c:ptCount val="16"/>
                <c:pt idx="0">
                  <c:v>4.4159933333333345</c:v>
                </c:pt>
                <c:pt idx="1">
                  <c:v>4.1947666666666681</c:v>
                </c:pt>
                <c:pt idx="2">
                  <c:v>3.9063819047619059</c:v>
                </c:pt>
                <c:pt idx="3">
                  <c:v>3.5508390476190499</c:v>
                </c:pt>
                <c:pt idx="4">
                  <c:v>3.1281380952380964</c:v>
                </c:pt>
                <c:pt idx="5">
                  <c:v>2.6382790476190507</c:v>
                </c:pt>
                <c:pt idx="6">
                  <c:v>2.0812619047619076</c:v>
                </c:pt>
                <c:pt idx="7">
                  <c:v>1.4570866666666697</c:v>
                </c:pt>
                <c:pt idx="8">
                  <c:v>0.76575333333333617</c:v>
                </c:pt>
                <c:pt idx="9">
                  <c:v>7.2619047619078003E-3</c:v>
                </c:pt>
                <c:pt idx="10">
                  <c:v>-0.81838761904761537</c:v>
                </c:pt>
                <c:pt idx="11">
                  <c:v>-1.7111952380952342</c:v>
                </c:pt>
                <c:pt idx="12">
                  <c:v>-2.6711609523809479</c:v>
                </c:pt>
                <c:pt idx="13">
                  <c:v>-3.6982847619047572</c:v>
                </c:pt>
                <c:pt idx="14">
                  <c:v>-4.7925666666666622</c:v>
                </c:pt>
                <c:pt idx="15">
                  <c:v>-5.9540066666666664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679-45F2-9094-0426E497D2D1}"/>
            </c:ext>
          </c:extLst>
        </c:ser>
        <c:ser>
          <c:idx val="5"/>
          <c:order val="5"/>
          <c:tx>
            <c:v>Head calibration</c:v>
          </c:tx>
          <c:spPr>
            <a:ln w="34925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8"/>
            <c:spPr>
              <a:solidFill>
                <a:schemeClr val="bg1"/>
              </a:solidFill>
              <a:ln w="19050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('Curve generation'!$C$28,'Curve generation'!$C$32,'Curve generation'!$C$36,'Curve generation'!$C$40)</c:f>
              <c:numCache>
                <c:formatCode>#,##0.0</c:formatCode>
                <c:ptCount val="4"/>
                <c:pt idx="0">
                  <c:v>0</c:v>
                </c:pt>
                <c:pt idx="1">
                  <c:v>277.77777777777777</c:v>
                </c:pt>
                <c:pt idx="2">
                  <c:v>472.22222222222217</c:v>
                </c:pt>
                <c:pt idx="3">
                  <c:v>236.11111111111109</c:v>
                </c:pt>
              </c:numCache>
            </c:numRef>
          </c:xVal>
          <c:yVal>
            <c:numRef>
              <c:f>('Curve generation'!$C$29,'Curve generation'!$C$33,'Curve generation'!$C$37,'Curve generation'!$C$41)</c:f>
              <c:numCache>
                <c:formatCode>#,##0.00</c:formatCode>
                <c:ptCount val="4"/>
                <c:pt idx="0">
                  <c:v>10.37</c:v>
                </c:pt>
                <c:pt idx="1">
                  <c:v>6.1</c:v>
                </c:pt>
                <c:pt idx="2">
                  <c:v>0</c:v>
                </c:pt>
                <c:pt idx="3">
                  <c:v>7.0738214285714287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679-45F2-9094-0426E497D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026336"/>
        <c:axId val="647027120"/>
      </c:scatterChart>
      <c:scatterChart>
        <c:scatterStyle val="smoothMarker"/>
        <c:varyColors val="0"/>
        <c:ser>
          <c:idx val="2"/>
          <c:order val="2"/>
          <c:tx>
            <c:strRef>
              <c:f>'Curve generation'!$AE$1</c:f>
              <c:strCache>
                <c:ptCount val="1"/>
                <c:pt idx="0">
                  <c:v>Efficiency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'Curve generation'!$Y$2:$Y$17</c:f>
              <c:numCache>
                <c:formatCode>0.0</c:formatCode>
                <c:ptCount val="16"/>
                <c:pt idx="0" formatCode="General">
                  <c:v>0</c:v>
                </c:pt>
                <c:pt idx="1">
                  <c:v>31.481481481481477</c:v>
                </c:pt>
                <c:pt idx="2">
                  <c:v>62.962962962962955</c:v>
                </c:pt>
                <c:pt idx="3">
                  <c:v>94.444444444444429</c:v>
                </c:pt>
                <c:pt idx="4">
                  <c:v>125.92592592592591</c:v>
                </c:pt>
                <c:pt idx="5">
                  <c:v>157.40740740740739</c:v>
                </c:pt>
                <c:pt idx="6">
                  <c:v>188.88888888888886</c:v>
                </c:pt>
                <c:pt idx="7">
                  <c:v>220.37037037037032</c:v>
                </c:pt>
                <c:pt idx="8">
                  <c:v>251.85185185185179</c:v>
                </c:pt>
                <c:pt idx="9">
                  <c:v>283.33333333333326</c:v>
                </c:pt>
                <c:pt idx="10">
                  <c:v>314.81481481481472</c:v>
                </c:pt>
                <c:pt idx="11">
                  <c:v>346.29629629629619</c:v>
                </c:pt>
                <c:pt idx="12">
                  <c:v>377.77777777777766</c:v>
                </c:pt>
                <c:pt idx="13">
                  <c:v>409.25925925925912</c:v>
                </c:pt>
                <c:pt idx="14">
                  <c:v>440.74074074074059</c:v>
                </c:pt>
                <c:pt idx="15">
                  <c:v>472.22222222222217</c:v>
                </c:pt>
              </c:numCache>
            </c:numRef>
          </c:xVal>
          <c:yVal>
            <c:numRef>
              <c:f>'Curve generation'!$AE$2:$AE$17</c:f>
              <c:numCache>
                <c:formatCode>0%</c:formatCode>
                <c:ptCount val="16"/>
                <c:pt idx="0">
                  <c:v>0</c:v>
                </c:pt>
                <c:pt idx="1">
                  <c:v>0.1617777777777778</c:v>
                </c:pt>
                <c:pt idx="2">
                  <c:v>0.30044444444444446</c:v>
                </c:pt>
                <c:pt idx="3">
                  <c:v>0.41600000000000004</c:v>
                </c:pt>
                <c:pt idx="4">
                  <c:v>0.50844444444444448</c:v>
                </c:pt>
                <c:pt idx="5">
                  <c:v>0.57777777777777772</c:v>
                </c:pt>
                <c:pt idx="6">
                  <c:v>0.62400000000000011</c:v>
                </c:pt>
                <c:pt idx="7">
                  <c:v>0.64711111111111108</c:v>
                </c:pt>
                <c:pt idx="8">
                  <c:v>0.64711111111111119</c:v>
                </c:pt>
                <c:pt idx="9">
                  <c:v>0.62400000000000011</c:v>
                </c:pt>
                <c:pt idx="10">
                  <c:v>0.57777777777777795</c:v>
                </c:pt>
                <c:pt idx="11">
                  <c:v>0.50844444444444448</c:v>
                </c:pt>
                <c:pt idx="12">
                  <c:v>0.41600000000000037</c:v>
                </c:pt>
                <c:pt idx="13">
                  <c:v>0.30044444444444474</c:v>
                </c:pt>
                <c:pt idx="14">
                  <c:v>0.16177777777777846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679-45F2-9094-0426E497D2D1}"/>
            </c:ext>
          </c:extLst>
        </c:ser>
        <c:ser>
          <c:idx val="4"/>
          <c:order val="4"/>
          <c:tx>
            <c:strRef>
              <c:f>'Curve generation'!$AF$1</c:f>
              <c:strCache>
                <c:ptCount val="1"/>
                <c:pt idx="0">
                  <c:v>Efficiency at VFD limit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'Curve generation'!$Y$2:$Y$17</c:f>
              <c:numCache>
                <c:formatCode>0.0</c:formatCode>
                <c:ptCount val="16"/>
                <c:pt idx="0" formatCode="General">
                  <c:v>0</c:v>
                </c:pt>
                <c:pt idx="1">
                  <c:v>31.481481481481477</c:v>
                </c:pt>
                <c:pt idx="2">
                  <c:v>62.962962962962955</c:v>
                </c:pt>
                <c:pt idx="3">
                  <c:v>94.444444444444429</c:v>
                </c:pt>
                <c:pt idx="4">
                  <c:v>125.92592592592591</c:v>
                </c:pt>
                <c:pt idx="5">
                  <c:v>157.40740740740739</c:v>
                </c:pt>
                <c:pt idx="6">
                  <c:v>188.88888888888886</c:v>
                </c:pt>
                <c:pt idx="7">
                  <c:v>220.37037037037032</c:v>
                </c:pt>
                <c:pt idx="8">
                  <c:v>251.85185185185179</c:v>
                </c:pt>
                <c:pt idx="9">
                  <c:v>283.33333333333326</c:v>
                </c:pt>
                <c:pt idx="10">
                  <c:v>314.81481481481472</c:v>
                </c:pt>
                <c:pt idx="11">
                  <c:v>346.29629629629619</c:v>
                </c:pt>
                <c:pt idx="12">
                  <c:v>377.77777777777766</c:v>
                </c:pt>
                <c:pt idx="13">
                  <c:v>409.25925925925912</c:v>
                </c:pt>
                <c:pt idx="14">
                  <c:v>440.74074074074059</c:v>
                </c:pt>
                <c:pt idx="15">
                  <c:v>472.22222222222217</c:v>
                </c:pt>
              </c:numCache>
            </c:numRef>
          </c:xVal>
          <c:yVal>
            <c:numRef>
              <c:f>'Curve generation'!$AF$2:$AF$17</c:f>
              <c:numCache>
                <c:formatCode>0%</c:formatCode>
                <c:ptCount val="16"/>
                <c:pt idx="0">
                  <c:v>0</c:v>
                </c:pt>
                <c:pt idx="1">
                  <c:v>0.21807729192007663</c:v>
                </c:pt>
                <c:pt idx="2">
                  <c:v>0.38169764601396183</c:v>
                </c:pt>
                <c:pt idx="3">
                  <c:v>0.49086106228165549</c:v>
                </c:pt>
                <c:pt idx="4">
                  <c:v>0.54556754072315783</c:v>
                </c:pt>
                <c:pt idx="5">
                  <c:v>0.54581708133846862</c:v>
                </c:pt>
                <c:pt idx="6">
                  <c:v>0.49160968412758776</c:v>
                </c:pt>
                <c:pt idx="7">
                  <c:v>0.38294534909051592</c:v>
                </c:pt>
                <c:pt idx="8">
                  <c:v>0.21982407622725253</c:v>
                </c:pt>
                <c:pt idx="9">
                  <c:v>2.2458655377972647E-3</c:v>
                </c:pt>
                <c:pt idx="10">
                  <c:v>-0.26978928297784854</c:v>
                </c:pt>
                <c:pt idx="11">
                  <c:v>-0.59628136931968667</c:v>
                </c:pt>
                <c:pt idx="12">
                  <c:v>-0.97723039348771579</c:v>
                </c:pt>
                <c:pt idx="13">
                  <c:v>-1.4126363554819368</c:v>
                </c:pt>
                <c:pt idx="14">
                  <c:v>-1.9024992553023488</c:v>
                </c:pt>
                <c:pt idx="15">
                  <c:v>-2.4468190929489539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679-45F2-9094-0426E497D2D1}"/>
            </c:ext>
          </c:extLst>
        </c:ser>
        <c:ser>
          <c:idx val="6"/>
          <c:order val="6"/>
          <c:tx>
            <c:v>Efficiency calibration</c:v>
          </c:tx>
          <c:spPr>
            <a:ln w="34925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8"/>
            <c:spPr>
              <a:solidFill>
                <a:schemeClr val="bg1"/>
              </a:solidFill>
              <a:ln w="19050">
                <a:solidFill>
                  <a:schemeClr val="bg2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('Curve generation'!$C$28,'Curve generation'!$C$32,'Curve generation'!$C$36,'Curve generation'!$C$40)</c:f>
              <c:numCache>
                <c:formatCode>#,##0.0</c:formatCode>
                <c:ptCount val="4"/>
                <c:pt idx="0">
                  <c:v>0</c:v>
                </c:pt>
                <c:pt idx="1">
                  <c:v>277.77777777777777</c:v>
                </c:pt>
                <c:pt idx="2">
                  <c:v>472.22222222222217</c:v>
                </c:pt>
                <c:pt idx="3">
                  <c:v>236.11111111111109</c:v>
                </c:pt>
              </c:numCache>
            </c:numRef>
          </c:xVal>
          <c:yVal>
            <c:numRef>
              <c:f>('Curve generation'!$C$30,'Curve generation'!$C$34,'Curve generation'!$C$38,'Curve generation'!$C$42)</c:f>
              <c:numCache>
                <c:formatCode>0.0%</c:formatCode>
                <c:ptCount val="4"/>
                <c:pt idx="0">
                  <c:v>0</c:v>
                </c:pt>
                <c:pt idx="1">
                  <c:v>0.62975778546712791</c:v>
                </c:pt>
                <c:pt idx="2">
                  <c:v>0</c:v>
                </c:pt>
                <c:pt idx="3">
                  <c:v>0.65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679-45F2-9094-0426E497D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023984"/>
        <c:axId val="647023592"/>
      </c:scatterChart>
      <c:valAx>
        <c:axId val="64702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Q [l/s]</a:t>
                </a:r>
              </a:p>
            </c:rich>
          </c:tx>
          <c:layout>
            <c:manualLayout>
              <c:xMode val="edge"/>
              <c:yMode val="edge"/>
              <c:x val="0.9277819444444444"/>
              <c:y val="0.9329499999999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27120"/>
        <c:crosses val="autoZero"/>
        <c:crossBetween val="midCat"/>
      </c:valAx>
      <c:valAx>
        <c:axId val="647027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Head [m]</a:t>
                </a:r>
              </a:p>
            </c:rich>
          </c:tx>
          <c:layout>
            <c:manualLayout>
              <c:xMode val="edge"/>
              <c:yMode val="edge"/>
              <c:x val="2.1213541666666681E-3"/>
              <c:y val="1.090625000000000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26336"/>
        <c:crosses val="autoZero"/>
        <c:crossBetween val="midCat"/>
      </c:valAx>
      <c:valAx>
        <c:axId val="647023592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23984"/>
        <c:crosses val="max"/>
        <c:crossBetween val="midCat"/>
      </c:valAx>
      <c:valAx>
        <c:axId val="647023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7023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33475204526671"/>
          <c:y val="2.4248634316403929E-2"/>
          <c:w val="0.8174462875662023"/>
          <c:h val="0.151535906643876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770138888888889E-2"/>
          <c:y val="9.9132291666666691E-2"/>
          <c:w val="0.93991944444444442"/>
          <c:h val="0.75509444444444462"/>
        </c:manualLayout>
      </c:layout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'Curve generation'!$Y$3:$Y$16</c:f>
              <c:numCache>
                <c:formatCode>0.0</c:formatCode>
                <c:ptCount val="14"/>
                <c:pt idx="0">
                  <c:v>31.481481481481477</c:v>
                </c:pt>
                <c:pt idx="1">
                  <c:v>62.962962962962955</c:v>
                </c:pt>
                <c:pt idx="2">
                  <c:v>94.444444444444429</c:v>
                </c:pt>
                <c:pt idx="3">
                  <c:v>125.92592592592591</c:v>
                </c:pt>
                <c:pt idx="4">
                  <c:v>157.40740740740739</c:v>
                </c:pt>
                <c:pt idx="5">
                  <c:v>188.88888888888886</c:v>
                </c:pt>
                <c:pt idx="6">
                  <c:v>220.37037037037032</c:v>
                </c:pt>
                <c:pt idx="7">
                  <c:v>251.85185185185179</c:v>
                </c:pt>
                <c:pt idx="8">
                  <c:v>283.33333333333326</c:v>
                </c:pt>
                <c:pt idx="9">
                  <c:v>314.81481481481472</c:v>
                </c:pt>
                <c:pt idx="10">
                  <c:v>346.29629629629619</c:v>
                </c:pt>
                <c:pt idx="11">
                  <c:v>377.77777777777766</c:v>
                </c:pt>
                <c:pt idx="12">
                  <c:v>409.25925925925912</c:v>
                </c:pt>
                <c:pt idx="13">
                  <c:v>440.74074074074059</c:v>
                </c:pt>
              </c:numCache>
            </c:numRef>
          </c:xVal>
          <c:yVal>
            <c:numRef>
              <c:f>'Curve generation'!$AG$3:$AG$16</c:f>
              <c:numCache>
                <c:formatCode>0.000</c:formatCode>
                <c:ptCount val="14"/>
                <c:pt idx="0">
                  <c:v>19.373980412087906</c:v>
                </c:pt>
                <c:pt idx="1">
                  <c:v>20.271412747252747</c:v>
                </c:pt>
                <c:pt idx="2">
                  <c:v>21.16884508241758</c:v>
                </c:pt>
                <c:pt idx="3">
                  <c:v>22.066277417582409</c:v>
                </c:pt>
                <c:pt idx="4">
                  <c:v>22.963709752747256</c:v>
                </c:pt>
                <c:pt idx="5">
                  <c:v>23.861142087912086</c:v>
                </c:pt>
                <c:pt idx="6">
                  <c:v>24.758574423076929</c:v>
                </c:pt>
                <c:pt idx="7">
                  <c:v>25.656006758241755</c:v>
                </c:pt>
                <c:pt idx="8">
                  <c:v>26.553439093406592</c:v>
                </c:pt>
                <c:pt idx="9">
                  <c:v>27.450871428571425</c:v>
                </c:pt>
                <c:pt idx="10">
                  <c:v>28.348303763736268</c:v>
                </c:pt>
                <c:pt idx="11">
                  <c:v>29.245736098901087</c:v>
                </c:pt>
                <c:pt idx="12">
                  <c:v>30.143168434065927</c:v>
                </c:pt>
                <c:pt idx="13">
                  <c:v>31.040600769230693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10-4D94-A830-7E8654031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177360"/>
        <c:axId val="650175792"/>
      </c:scatterChart>
      <c:valAx>
        <c:axId val="65017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Q [l/s]</a:t>
                </a:r>
              </a:p>
            </c:rich>
          </c:tx>
          <c:layout>
            <c:manualLayout>
              <c:xMode val="edge"/>
              <c:yMode val="edge"/>
              <c:x val="0.93329791666666662"/>
              <c:y val="0.93447604166666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75792"/>
        <c:crosses val="autoZero"/>
        <c:crossBetween val="midCat"/>
      </c:valAx>
      <c:valAx>
        <c:axId val="65017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Power [kW]</a:t>
                </a:r>
              </a:p>
            </c:rich>
          </c:tx>
          <c:layout>
            <c:manualLayout>
              <c:xMode val="edge"/>
              <c:yMode val="edge"/>
              <c:x val="1.7659722222222232E-3"/>
              <c:y val="3.373263888888890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7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3854166666668E-2"/>
          <c:y val="0.10019131944444444"/>
          <c:w val="0.92000572916666667"/>
          <c:h val="0.74965034722222224"/>
        </c:manualLayout>
      </c:layout>
      <c:areaChart>
        <c:grouping val="stacked"/>
        <c:varyColors val="0"/>
        <c:ser>
          <c:idx val="0"/>
          <c:order val="0"/>
          <c:tx>
            <c:strRef>
              <c:f>'Curve generation'!$Z$1</c:f>
              <c:strCache>
                <c:ptCount val="1"/>
                <c:pt idx="0">
                  <c:v>Geometric/Static head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'Curve generation'!$Y$2:$Y$17</c:f>
              <c:numCache>
                <c:formatCode>0.0</c:formatCode>
                <c:ptCount val="16"/>
                <c:pt idx="0" formatCode="General">
                  <c:v>0</c:v>
                </c:pt>
                <c:pt idx="1">
                  <c:v>31.481481481481477</c:v>
                </c:pt>
                <c:pt idx="2">
                  <c:v>62.962962962962955</c:v>
                </c:pt>
                <c:pt idx="3">
                  <c:v>94.444444444444429</c:v>
                </c:pt>
                <c:pt idx="4">
                  <c:v>125.92592592592591</c:v>
                </c:pt>
                <c:pt idx="5">
                  <c:v>157.40740740740739</c:v>
                </c:pt>
                <c:pt idx="6">
                  <c:v>188.88888888888886</c:v>
                </c:pt>
                <c:pt idx="7">
                  <c:v>220.37037037037032</c:v>
                </c:pt>
                <c:pt idx="8">
                  <c:v>251.85185185185179</c:v>
                </c:pt>
                <c:pt idx="9">
                  <c:v>283.33333333333326</c:v>
                </c:pt>
                <c:pt idx="10">
                  <c:v>314.81481481481472</c:v>
                </c:pt>
                <c:pt idx="11">
                  <c:v>346.29629629629619</c:v>
                </c:pt>
                <c:pt idx="12">
                  <c:v>377.77777777777766</c:v>
                </c:pt>
                <c:pt idx="13">
                  <c:v>409.25925925925912</c:v>
                </c:pt>
                <c:pt idx="14">
                  <c:v>440.74074074074059</c:v>
                </c:pt>
                <c:pt idx="15">
                  <c:v>472.22222222222217</c:v>
                </c:pt>
              </c:numCache>
            </c:numRef>
          </c:cat>
          <c:val>
            <c:numRef>
              <c:f>'Curve generation'!$Z$2:$Z$17</c:f>
              <c:numCache>
                <c:formatCode>0.000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5-4BD0-9D97-FD5DDCDAA9D7}"/>
            </c:ext>
          </c:extLst>
        </c:ser>
        <c:ser>
          <c:idx val="1"/>
          <c:order val="1"/>
          <c:tx>
            <c:strRef>
              <c:f>'Curve generation'!$AA$1</c:f>
              <c:strCache>
                <c:ptCount val="1"/>
                <c:pt idx="0">
                  <c:v>Dynamic head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'Curve generation'!$Y$2:$Y$17</c:f>
              <c:numCache>
                <c:formatCode>0.0</c:formatCode>
                <c:ptCount val="16"/>
                <c:pt idx="0" formatCode="General">
                  <c:v>0</c:v>
                </c:pt>
                <c:pt idx="1">
                  <c:v>31.481481481481477</c:v>
                </c:pt>
                <c:pt idx="2">
                  <c:v>62.962962962962955</c:v>
                </c:pt>
                <c:pt idx="3">
                  <c:v>94.444444444444429</c:v>
                </c:pt>
                <c:pt idx="4">
                  <c:v>125.92592592592591</c:v>
                </c:pt>
                <c:pt idx="5">
                  <c:v>157.40740740740739</c:v>
                </c:pt>
                <c:pt idx="6">
                  <c:v>188.88888888888886</c:v>
                </c:pt>
                <c:pt idx="7">
                  <c:v>220.37037037037032</c:v>
                </c:pt>
                <c:pt idx="8">
                  <c:v>251.85185185185179</c:v>
                </c:pt>
                <c:pt idx="9">
                  <c:v>283.33333333333326</c:v>
                </c:pt>
                <c:pt idx="10">
                  <c:v>314.81481481481472</c:v>
                </c:pt>
                <c:pt idx="11">
                  <c:v>346.29629629629619</c:v>
                </c:pt>
                <c:pt idx="12">
                  <c:v>377.77777777777766</c:v>
                </c:pt>
                <c:pt idx="13">
                  <c:v>409.25925925925912</c:v>
                </c:pt>
                <c:pt idx="14">
                  <c:v>440.74074074074059</c:v>
                </c:pt>
                <c:pt idx="15">
                  <c:v>472.22222222222217</c:v>
                </c:pt>
              </c:numCache>
            </c:numRef>
          </c:cat>
          <c:val>
            <c:numRef>
              <c:f>'Curve generation'!$AA$2:$AA$17</c:f>
              <c:numCache>
                <c:formatCode>0.000</c:formatCode>
                <c:ptCount val="16"/>
                <c:pt idx="0">
                  <c:v>0</c:v>
                </c:pt>
                <c:pt idx="1">
                  <c:v>1.2844444444444444E-3</c:v>
                </c:pt>
                <c:pt idx="2">
                  <c:v>5.1377777777777776E-3</c:v>
                </c:pt>
                <c:pt idx="3">
                  <c:v>1.1559999999999999E-2</c:v>
                </c:pt>
                <c:pt idx="4">
                  <c:v>2.055111111111111E-2</c:v>
                </c:pt>
                <c:pt idx="5">
                  <c:v>3.2111111111111111E-2</c:v>
                </c:pt>
                <c:pt idx="6">
                  <c:v>4.6239999999999996E-2</c:v>
                </c:pt>
                <c:pt idx="7">
                  <c:v>6.2937777777777759E-2</c:v>
                </c:pt>
                <c:pt idx="8">
                  <c:v>8.2204444444444413E-2</c:v>
                </c:pt>
                <c:pt idx="9">
                  <c:v>0.10403999999999997</c:v>
                </c:pt>
                <c:pt idx="10">
                  <c:v>0.12844444444444439</c:v>
                </c:pt>
                <c:pt idx="11">
                  <c:v>0.15541777777777771</c:v>
                </c:pt>
                <c:pt idx="12">
                  <c:v>0.1849599999999999</c:v>
                </c:pt>
                <c:pt idx="13">
                  <c:v>0.21707111111111099</c:v>
                </c:pt>
                <c:pt idx="14">
                  <c:v>0.25175111111111098</c:v>
                </c:pt>
                <c:pt idx="15">
                  <c:v>0.28899999999999998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85-4BD0-9D97-FD5DDCDA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177752"/>
        <c:axId val="650176576"/>
      </c:areaChart>
      <c:lineChart>
        <c:grouping val="standard"/>
        <c:varyColors val="0"/>
        <c:ser>
          <c:idx val="2"/>
          <c:order val="2"/>
          <c:tx>
            <c:strRef>
              <c:f>'Curve generation'!$AC$1</c:f>
              <c:strCache>
                <c:ptCount val="1"/>
                <c:pt idx="0">
                  <c:v>Pump head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'Curve generation'!$AC$2:$AC$17</c:f>
              <c:numCache>
                <c:formatCode>0.000</c:formatCode>
                <c:ptCount val="16"/>
                <c:pt idx="0">
                  <c:v>10.37</c:v>
                </c:pt>
                <c:pt idx="1">
                  <c:v>10.148773333333333</c:v>
                </c:pt>
                <c:pt idx="2">
                  <c:v>9.8603885714285706</c:v>
                </c:pt>
                <c:pt idx="3">
                  <c:v>9.5048457142857146</c:v>
                </c:pt>
                <c:pt idx="4">
                  <c:v>9.0821447619047611</c:v>
                </c:pt>
                <c:pt idx="5">
                  <c:v>8.5922857142857154</c:v>
                </c:pt>
                <c:pt idx="6">
                  <c:v>8.0352685714285723</c:v>
                </c:pt>
                <c:pt idx="7">
                  <c:v>7.4110933333333344</c:v>
                </c:pt>
                <c:pt idx="8">
                  <c:v>6.7197600000000008</c:v>
                </c:pt>
                <c:pt idx="9">
                  <c:v>5.9612685714285725</c:v>
                </c:pt>
                <c:pt idx="10">
                  <c:v>5.1356190476190493</c:v>
                </c:pt>
                <c:pt idx="11">
                  <c:v>4.2428114285714305</c:v>
                </c:pt>
                <c:pt idx="12">
                  <c:v>3.2828457142857168</c:v>
                </c:pt>
                <c:pt idx="13">
                  <c:v>2.2557219047619075</c:v>
                </c:pt>
                <c:pt idx="14">
                  <c:v>1.1614400000000025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85-4BD0-9D97-FD5DDCDA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177752"/>
        <c:axId val="650176576"/>
      </c:lineChart>
      <c:catAx>
        <c:axId val="650177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Q [l/s]</a:t>
                </a:r>
              </a:p>
            </c:rich>
          </c:tx>
          <c:layout>
            <c:manualLayout>
              <c:xMode val="edge"/>
              <c:yMode val="edge"/>
              <c:x val="0.92717621527777794"/>
              <c:y val="0.9329499999999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76576"/>
        <c:crosses val="autoZero"/>
        <c:auto val="1"/>
        <c:lblAlgn val="ctr"/>
        <c:lblOffset val="100"/>
        <c:noMultiLvlLbl val="1"/>
      </c:catAx>
      <c:valAx>
        <c:axId val="650176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Head [m]</a:t>
                </a:r>
              </a:p>
            </c:rich>
          </c:tx>
          <c:layout>
            <c:manualLayout>
              <c:xMode val="edge"/>
              <c:yMode val="edge"/>
              <c:x val="2.1213541666666668E-3"/>
              <c:y val="9.91006944444444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77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33557316424572"/>
          <c:y val="3.9534722222221604E-3"/>
          <c:w val="0.73106473711476394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24305555555559E-2"/>
          <c:y val="0.10019131944444444"/>
          <c:w val="0.90216302083333333"/>
          <c:h val="0.7499572916666666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'Curve generation'!$AC$1</c:f>
              <c:strCache>
                <c:ptCount val="1"/>
                <c:pt idx="0">
                  <c:v>Pump head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'Curve generation'!$Y$2:$Y$17</c:f>
              <c:numCache>
                <c:formatCode>0.0</c:formatCode>
                <c:ptCount val="16"/>
                <c:pt idx="0" formatCode="General">
                  <c:v>0</c:v>
                </c:pt>
                <c:pt idx="1">
                  <c:v>31.481481481481477</c:v>
                </c:pt>
                <c:pt idx="2">
                  <c:v>62.962962962962955</c:v>
                </c:pt>
                <c:pt idx="3">
                  <c:v>94.444444444444429</c:v>
                </c:pt>
                <c:pt idx="4">
                  <c:v>125.92592592592591</c:v>
                </c:pt>
                <c:pt idx="5">
                  <c:v>157.40740740740739</c:v>
                </c:pt>
                <c:pt idx="6">
                  <c:v>188.88888888888886</c:v>
                </c:pt>
                <c:pt idx="7">
                  <c:v>220.37037037037032</c:v>
                </c:pt>
                <c:pt idx="8">
                  <c:v>251.85185185185179</c:v>
                </c:pt>
                <c:pt idx="9">
                  <c:v>283.33333333333326</c:v>
                </c:pt>
                <c:pt idx="10">
                  <c:v>314.81481481481472</c:v>
                </c:pt>
                <c:pt idx="11">
                  <c:v>346.29629629629619</c:v>
                </c:pt>
                <c:pt idx="12">
                  <c:v>377.77777777777766</c:v>
                </c:pt>
                <c:pt idx="13">
                  <c:v>409.25925925925912</c:v>
                </c:pt>
                <c:pt idx="14">
                  <c:v>440.74074074074059</c:v>
                </c:pt>
                <c:pt idx="15">
                  <c:v>472.22222222222217</c:v>
                </c:pt>
              </c:numCache>
            </c:numRef>
          </c:xVal>
          <c:yVal>
            <c:numRef>
              <c:f>'Curve generation'!$AC$2:$AC$17</c:f>
              <c:numCache>
                <c:formatCode>0.000</c:formatCode>
                <c:ptCount val="16"/>
                <c:pt idx="0">
                  <c:v>10.37</c:v>
                </c:pt>
                <c:pt idx="1">
                  <c:v>10.148773333333333</c:v>
                </c:pt>
                <c:pt idx="2">
                  <c:v>9.8603885714285706</c:v>
                </c:pt>
                <c:pt idx="3">
                  <c:v>9.5048457142857146</c:v>
                </c:pt>
                <c:pt idx="4">
                  <c:v>9.0821447619047611</c:v>
                </c:pt>
                <c:pt idx="5">
                  <c:v>8.5922857142857154</c:v>
                </c:pt>
                <c:pt idx="6">
                  <c:v>8.0352685714285723</c:v>
                </c:pt>
                <c:pt idx="7">
                  <c:v>7.4110933333333344</c:v>
                </c:pt>
                <c:pt idx="8">
                  <c:v>6.7197600000000008</c:v>
                </c:pt>
                <c:pt idx="9">
                  <c:v>5.9612685714285725</c:v>
                </c:pt>
                <c:pt idx="10">
                  <c:v>5.1356190476190493</c:v>
                </c:pt>
                <c:pt idx="11">
                  <c:v>4.2428114285714305</c:v>
                </c:pt>
                <c:pt idx="12">
                  <c:v>3.2828457142857168</c:v>
                </c:pt>
                <c:pt idx="13">
                  <c:v>2.2557219047619075</c:v>
                </c:pt>
                <c:pt idx="14">
                  <c:v>1.1614400000000025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3-45DD-9C16-4FE8215F8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174224"/>
        <c:axId val="650176968"/>
      </c:scatterChart>
      <c:scatterChart>
        <c:scatterStyle val="smoothMarker"/>
        <c:varyColors val="0"/>
        <c:ser>
          <c:idx val="2"/>
          <c:order val="1"/>
          <c:tx>
            <c:strRef>
              <c:f>'Curve generation'!$AE$1</c:f>
              <c:strCache>
                <c:ptCount val="1"/>
                <c:pt idx="0">
                  <c:v>Efficiency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'Curve generation'!$Y$2:$Y$17</c:f>
              <c:numCache>
                <c:formatCode>0.0</c:formatCode>
                <c:ptCount val="16"/>
                <c:pt idx="0" formatCode="General">
                  <c:v>0</c:v>
                </c:pt>
                <c:pt idx="1">
                  <c:v>31.481481481481477</c:v>
                </c:pt>
                <c:pt idx="2">
                  <c:v>62.962962962962955</c:v>
                </c:pt>
                <c:pt idx="3">
                  <c:v>94.444444444444429</c:v>
                </c:pt>
                <c:pt idx="4">
                  <c:v>125.92592592592591</c:v>
                </c:pt>
                <c:pt idx="5">
                  <c:v>157.40740740740739</c:v>
                </c:pt>
                <c:pt idx="6">
                  <c:v>188.88888888888886</c:v>
                </c:pt>
                <c:pt idx="7">
                  <c:v>220.37037037037032</c:v>
                </c:pt>
                <c:pt idx="8">
                  <c:v>251.85185185185179</c:v>
                </c:pt>
                <c:pt idx="9">
                  <c:v>283.33333333333326</c:v>
                </c:pt>
                <c:pt idx="10">
                  <c:v>314.81481481481472</c:v>
                </c:pt>
                <c:pt idx="11">
                  <c:v>346.29629629629619</c:v>
                </c:pt>
                <c:pt idx="12">
                  <c:v>377.77777777777766</c:v>
                </c:pt>
                <c:pt idx="13">
                  <c:v>409.25925925925912</c:v>
                </c:pt>
                <c:pt idx="14">
                  <c:v>440.74074074074059</c:v>
                </c:pt>
                <c:pt idx="15">
                  <c:v>472.22222222222217</c:v>
                </c:pt>
              </c:numCache>
            </c:numRef>
          </c:xVal>
          <c:yVal>
            <c:numRef>
              <c:f>'Curve generation'!$AE$2:$AE$17</c:f>
              <c:numCache>
                <c:formatCode>0%</c:formatCode>
                <c:ptCount val="16"/>
                <c:pt idx="0">
                  <c:v>0</c:v>
                </c:pt>
                <c:pt idx="1">
                  <c:v>0.1617777777777778</c:v>
                </c:pt>
                <c:pt idx="2">
                  <c:v>0.30044444444444446</c:v>
                </c:pt>
                <c:pt idx="3">
                  <c:v>0.41600000000000004</c:v>
                </c:pt>
                <c:pt idx="4">
                  <c:v>0.50844444444444448</c:v>
                </c:pt>
                <c:pt idx="5">
                  <c:v>0.57777777777777772</c:v>
                </c:pt>
                <c:pt idx="6">
                  <c:v>0.62400000000000011</c:v>
                </c:pt>
                <c:pt idx="7">
                  <c:v>0.64711111111111108</c:v>
                </c:pt>
                <c:pt idx="8">
                  <c:v>0.64711111111111119</c:v>
                </c:pt>
                <c:pt idx="9">
                  <c:v>0.62400000000000011</c:v>
                </c:pt>
                <c:pt idx="10">
                  <c:v>0.57777777777777795</c:v>
                </c:pt>
                <c:pt idx="11">
                  <c:v>0.50844444444444448</c:v>
                </c:pt>
                <c:pt idx="12">
                  <c:v>0.41600000000000037</c:v>
                </c:pt>
                <c:pt idx="13">
                  <c:v>0.30044444444444474</c:v>
                </c:pt>
                <c:pt idx="14">
                  <c:v>0.16177777777777846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E3-45DD-9C16-4FE8215F8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176184"/>
        <c:axId val="650175400"/>
      </c:scatterChart>
      <c:valAx>
        <c:axId val="65017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Q [l/s]</a:t>
                </a:r>
              </a:p>
            </c:rich>
          </c:tx>
          <c:layout>
            <c:manualLayout>
              <c:xMode val="edge"/>
              <c:yMode val="edge"/>
              <c:x val="0.92945121527777774"/>
              <c:y val="0.934807638888888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76968"/>
        <c:crosses val="autoZero"/>
        <c:crossBetween val="midCat"/>
      </c:valAx>
      <c:valAx>
        <c:axId val="65017696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Head [m]</a:t>
                </a:r>
              </a:p>
            </c:rich>
          </c:tx>
          <c:layout>
            <c:manualLayout>
              <c:xMode val="edge"/>
              <c:yMode val="edge"/>
              <c:x val="2.1213541666666681E-3"/>
              <c:y val="5.50034722222222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74224"/>
        <c:crosses val="autoZero"/>
        <c:crossBetween val="midCat"/>
      </c:valAx>
      <c:valAx>
        <c:axId val="650175400"/>
        <c:scaling>
          <c:orientation val="minMax"/>
          <c:min val="0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76184"/>
        <c:crosses val="max"/>
        <c:crossBetween val="midCat"/>
      </c:valAx>
      <c:valAx>
        <c:axId val="650176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0175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35546875"/>
          <c:y val="3.9534722222221604E-3"/>
          <c:w val="0.22309478133883531"/>
          <c:h val="7.5134860543312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Pump operation range</a:t>
            </a:r>
          </a:p>
        </c:rich>
      </c:tx>
      <c:layout>
        <c:manualLayout>
          <c:xMode val="edge"/>
          <c:yMode val="edge"/>
          <c:x val="0.30551299402328652"/>
          <c:y val="1.6557467776495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069618055555554E-2"/>
          <c:y val="2.5327450980392158E-2"/>
          <c:w val="0.80392795138888884"/>
          <c:h val="0.77524248366013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Pumpcalibration!$AD$9</c:f>
              <c:strCache>
                <c:ptCount val="1"/>
                <c:pt idx="0">
                  <c:v>Pump head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Pumpcalibration!$Z$10:$Z$30</c:f>
              <c:numCache>
                <c:formatCode>0.0</c:formatCode>
                <c:ptCount val="21"/>
                <c:pt idx="0" formatCode="General">
                  <c:v>0</c:v>
                </c:pt>
                <c:pt idx="1">
                  <c:v>10.727014078540975</c:v>
                </c:pt>
                <c:pt idx="2">
                  <c:v>21.45402815708195</c:v>
                </c:pt>
                <c:pt idx="3">
                  <c:v>32.181042235622925</c:v>
                </c:pt>
                <c:pt idx="4">
                  <c:v>42.9080563141639</c:v>
                </c:pt>
                <c:pt idx="5">
                  <c:v>53.635070392704876</c:v>
                </c:pt>
                <c:pt idx="6">
                  <c:v>64.362084471245851</c:v>
                </c:pt>
                <c:pt idx="7">
                  <c:v>75.089098549786826</c:v>
                </c:pt>
                <c:pt idx="8">
                  <c:v>85.816112628327801</c:v>
                </c:pt>
                <c:pt idx="9">
                  <c:v>96.543126706868776</c:v>
                </c:pt>
                <c:pt idx="10">
                  <c:v>107.27014078540975</c:v>
                </c:pt>
                <c:pt idx="11">
                  <c:v>117.99715486395073</c:v>
                </c:pt>
                <c:pt idx="12">
                  <c:v>128.7241689424917</c:v>
                </c:pt>
                <c:pt idx="13">
                  <c:v>139.45118302103268</c:v>
                </c:pt>
                <c:pt idx="14">
                  <c:v>150.17819709957365</c:v>
                </c:pt>
                <c:pt idx="15">
                  <c:v>160.90521117811463</c:v>
                </c:pt>
                <c:pt idx="16">
                  <c:v>171.6322252566556</c:v>
                </c:pt>
                <c:pt idx="17">
                  <c:v>182.35923933519658</c:v>
                </c:pt>
                <c:pt idx="18">
                  <c:v>193.08625341373755</c:v>
                </c:pt>
                <c:pt idx="19">
                  <c:v>203.81326749227853</c:v>
                </c:pt>
                <c:pt idx="20">
                  <c:v>214.5402815708195</c:v>
                </c:pt>
              </c:numCache>
            </c:numRef>
          </c:xVal>
          <c:yVal>
            <c:numRef>
              <c:f>Pumpcalibration!$AD$10:$AD$30</c:f>
              <c:numCache>
                <c:formatCode>0.0</c:formatCode>
                <c:ptCount val="21"/>
                <c:pt idx="0">
                  <c:v>16.899999999999999</c:v>
                </c:pt>
                <c:pt idx="1">
                  <c:v>16.485636382836066</c:v>
                </c:pt>
                <c:pt idx="2">
                  <c:v>16.025942620110442</c:v>
                </c:pt>
                <c:pt idx="3">
                  <c:v>15.520918711823127</c:v>
                </c:pt>
                <c:pt idx="4">
                  <c:v>14.970564657974119</c:v>
                </c:pt>
                <c:pt idx="5">
                  <c:v>14.374880458563421</c:v>
                </c:pt>
                <c:pt idx="6">
                  <c:v>13.733866113591032</c:v>
                </c:pt>
                <c:pt idx="7">
                  <c:v>13.047521623056952</c:v>
                </c:pt>
                <c:pt idx="8">
                  <c:v>12.31584698696118</c:v>
                </c:pt>
                <c:pt idx="9">
                  <c:v>11.538842205303718</c:v>
                </c:pt>
                <c:pt idx="10">
                  <c:v>10.716507278084563</c:v>
                </c:pt>
                <c:pt idx="11">
                  <c:v>9.8488422053037183</c:v>
                </c:pt>
                <c:pt idx="12">
                  <c:v>8.935846986961181</c:v>
                </c:pt>
                <c:pt idx="13">
                  <c:v>7.977521623056953</c:v>
                </c:pt>
                <c:pt idx="14">
                  <c:v>6.9738661135910327</c:v>
                </c:pt>
                <c:pt idx="15">
                  <c:v>5.9248804585634236</c:v>
                </c:pt>
                <c:pt idx="16">
                  <c:v>4.8305646579741222</c:v>
                </c:pt>
                <c:pt idx="17">
                  <c:v>3.6909187118231266</c:v>
                </c:pt>
                <c:pt idx="18">
                  <c:v>2.505942620110444</c:v>
                </c:pt>
                <c:pt idx="19">
                  <c:v>1.2756363828360691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C8-45DD-8941-E387AED1223A}"/>
            </c:ext>
          </c:extLst>
        </c:ser>
        <c:ser>
          <c:idx val="3"/>
          <c:order val="2"/>
          <c:tx>
            <c:v>Calibration head</c:v>
          </c:tx>
          <c:spPr>
            <a:ln w="34925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7"/>
            <c:spPr>
              <a:noFill/>
              <a:ln w="19050">
                <a:solidFill>
                  <a:srgbClr val="00B0F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Pumpcalibration!$C$15:$E$15</c:f>
              <c:numCache>
                <c:formatCode>General</c:formatCode>
                <c:ptCount val="3"/>
                <c:pt idx="0">
                  <c:v>60</c:v>
                </c:pt>
                <c:pt idx="1">
                  <c:v>110</c:v>
                </c:pt>
                <c:pt idx="2">
                  <c:v>170</c:v>
                </c:pt>
              </c:numCache>
            </c:numRef>
          </c:xVal>
          <c:yVal>
            <c:numRef>
              <c:f>Pumpcalibration!$C$16:$E$16</c:f>
              <c:numCache>
                <c:formatCode>0.00</c:formatCode>
                <c:ptCount val="3"/>
                <c:pt idx="0">
                  <c:v>14</c:v>
                </c:pt>
                <c:pt idx="1">
                  <c:v>10.5</c:v>
                </c:pt>
                <c:pt idx="2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C8-45DD-8941-E387AED1223A}"/>
            </c:ext>
          </c:extLst>
        </c:ser>
        <c:ser>
          <c:idx val="5"/>
          <c:order val="4"/>
          <c:tx>
            <c:strRef>
              <c:f>Pumpcalibration!$AF$9</c:f>
              <c:strCache>
                <c:ptCount val="1"/>
                <c:pt idx="0">
                  <c:v>Pump head at VFD limit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Pumpcalibration!$Z$10:$Z$30</c:f>
              <c:numCache>
                <c:formatCode>0.0</c:formatCode>
                <c:ptCount val="21"/>
                <c:pt idx="0" formatCode="General">
                  <c:v>0</c:v>
                </c:pt>
                <c:pt idx="1">
                  <c:v>10.727014078540975</c:v>
                </c:pt>
                <c:pt idx="2">
                  <c:v>21.45402815708195</c:v>
                </c:pt>
                <c:pt idx="3">
                  <c:v>32.181042235622925</c:v>
                </c:pt>
                <c:pt idx="4">
                  <c:v>42.9080563141639</c:v>
                </c:pt>
                <c:pt idx="5">
                  <c:v>53.635070392704876</c:v>
                </c:pt>
                <c:pt idx="6">
                  <c:v>64.362084471245851</c:v>
                </c:pt>
                <c:pt idx="7">
                  <c:v>75.089098549786826</c:v>
                </c:pt>
                <c:pt idx="8">
                  <c:v>85.816112628327801</c:v>
                </c:pt>
                <c:pt idx="9">
                  <c:v>96.543126706868776</c:v>
                </c:pt>
                <c:pt idx="10">
                  <c:v>107.27014078540975</c:v>
                </c:pt>
                <c:pt idx="11">
                  <c:v>117.99715486395073</c:v>
                </c:pt>
                <c:pt idx="12">
                  <c:v>128.7241689424917</c:v>
                </c:pt>
                <c:pt idx="13">
                  <c:v>139.45118302103268</c:v>
                </c:pt>
                <c:pt idx="14">
                  <c:v>150.17819709957365</c:v>
                </c:pt>
                <c:pt idx="15">
                  <c:v>160.90521117811463</c:v>
                </c:pt>
                <c:pt idx="16">
                  <c:v>171.6322252566556</c:v>
                </c:pt>
                <c:pt idx="17">
                  <c:v>182.35923933519658</c:v>
                </c:pt>
                <c:pt idx="18">
                  <c:v>193.08625341373755</c:v>
                </c:pt>
                <c:pt idx="19">
                  <c:v>203.81326749227853</c:v>
                </c:pt>
                <c:pt idx="20">
                  <c:v>214.5402815708195</c:v>
                </c:pt>
              </c:numCache>
            </c:numRef>
          </c:xVal>
          <c:yVal>
            <c:numRef>
              <c:f>Pumpcalibration!$AF$10:$AF$30</c:f>
              <c:numCache>
                <c:formatCode>0.0</c:formatCode>
                <c:ptCount val="21"/>
                <c:pt idx="0">
                  <c:v>6.7600000000000016</c:v>
                </c:pt>
                <c:pt idx="1">
                  <c:v>6.3456363828360693</c:v>
                </c:pt>
                <c:pt idx="2">
                  <c:v>5.8859426201104448</c:v>
                </c:pt>
                <c:pt idx="3">
                  <c:v>5.3809187118231296</c:v>
                </c:pt>
                <c:pt idx="4">
                  <c:v>4.8305646579741222</c:v>
                </c:pt>
                <c:pt idx="5">
                  <c:v>4.2348804585634241</c:v>
                </c:pt>
                <c:pt idx="6">
                  <c:v>3.5938661135910355</c:v>
                </c:pt>
                <c:pt idx="7">
                  <c:v>2.9075216230569545</c:v>
                </c:pt>
                <c:pt idx="8">
                  <c:v>2.1758469869611829</c:v>
                </c:pt>
                <c:pt idx="9">
                  <c:v>1.3988422053037208</c:v>
                </c:pt>
                <c:pt idx="10">
                  <c:v>0.57650727808456637</c:v>
                </c:pt>
                <c:pt idx="11">
                  <c:v>-0.29115779469627867</c:v>
                </c:pt>
                <c:pt idx="12">
                  <c:v>-1.2041530130388161</c:v>
                </c:pt>
                <c:pt idx="13">
                  <c:v>-2.162478376943044</c:v>
                </c:pt>
                <c:pt idx="14">
                  <c:v>-3.1661338864089643</c:v>
                </c:pt>
                <c:pt idx="15">
                  <c:v>-4.2151195414365734</c:v>
                </c:pt>
                <c:pt idx="16">
                  <c:v>-5.3094353420258749</c:v>
                </c:pt>
                <c:pt idx="17">
                  <c:v>-6.4490812881768704</c:v>
                </c:pt>
                <c:pt idx="18">
                  <c:v>-7.634057379889553</c:v>
                </c:pt>
                <c:pt idx="19">
                  <c:v>-8.864363617163928</c:v>
                </c:pt>
                <c:pt idx="20">
                  <c:v>-10.139999999999997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8D-4696-8E7E-1EEA7A1F0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400976"/>
        <c:axId val="646401760"/>
      </c:scatterChart>
      <c:scatterChart>
        <c:scatterStyle val="smoothMarker"/>
        <c:varyColors val="0"/>
        <c:ser>
          <c:idx val="1"/>
          <c:order val="1"/>
          <c:tx>
            <c:strRef>
              <c:f>Pumpcalibration!$AE$9</c:f>
              <c:strCache>
                <c:ptCount val="1"/>
                <c:pt idx="0">
                  <c:v>Nominal efficiency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Pumpcalibration!$Z$10:$Z$30</c:f>
              <c:numCache>
                <c:formatCode>0.0</c:formatCode>
                <c:ptCount val="21"/>
                <c:pt idx="0" formatCode="General">
                  <c:v>0</c:v>
                </c:pt>
                <c:pt idx="1">
                  <c:v>10.727014078540975</c:v>
                </c:pt>
                <c:pt idx="2">
                  <c:v>21.45402815708195</c:v>
                </c:pt>
                <c:pt idx="3">
                  <c:v>32.181042235622925</c:v>
                </c:pt>
                <c:pt idx="4">
                  <c:v>42.9080563141639</c:v>
                </c:pt>
                <c:pt idx="5">
                  <c:v>53.635070392704876</c:v>
                </c:pt>
                <c:pt idx="6">
                  <c:v>64.362084471245851</c:v>
                </c:pt>
                <c:pt idx="7">
                  <c:v>75.089098549786826</c:v>
                </c:pt>
                <c:pt idx="8">
                  <c:v>85.816112628327801</c:v>
                </c:pt>
                <c:pt idx="9">
                  <c:v>96.543126706868776</c:v>
                </c:pt>
                <c:pt idx="10">
                  <c:v>107.27014078540975</c:v>
                </c:pt>
                <c:pt idx="11">
                  <c:v>117.99715486395073</c:v>
                </c:pt>
                <c:pt idx="12">
                  <c:v>128.7241689424917</c:v>
                </c:pt>
                <c:pt idx="13">
                  <c:v>139.45118302103268</c:v>
                </c:pt>
                <c:pt idx="14">
                  <c:v>150.17819709957365</c:v>
                </c:pt>
                <c:pt idx="15">
                  <c:v>160.90521117811463</c:v>
                </c:pt>
                <c:pt idx="16">
                  <c:v>171.6322252566556</c:v>
                </c:pt>
                <c:pt idx="17">
                  <c:v>182.35923933519658</c:v>
                </c:pt>
                <c:pt idx="18">
                  <c:v>193.08625341373755</c:v>
                </c:pt>
                <c:pt idx="19">
                  <c:v>203.81326749227853</c:v>
                </c:pt>
                <c:pt idx="20">
                  <c:v>214.5402815708195</c:v>
                </c:pt>
              </c:numCache>
            </c:numRef>
          </c:xVal>
          <c:yVal>
            <c:numRef>
              <c:f>Pumpcalibration!$AE$10:$AE$30</c:f>
              <c:numCache>
                <c:formatCode>0.0%</c:formatCode>
                <c:ptCount val="21"/>
                <c:pt idx="0">
                  <c:v>0.3121659122596151</c:v>
                </c:pt>
                <c:pt idx="1">
                  <c:v>0.36554982234366978</c:v>
                </c:pt>
                <c:pt idx="2">
                  <c:v>0.41357832228561442</c:v>
                </c:pt>
                <c:pt idx="3">
                  <c:v>0.45625141208544895</c:v>
                </c:pt>
                <c:pt idx="4">
                  <c:v>0.49356909174317343</c:v>
                </c:pt>
                <c:pt idx="5">
                  <c:v>0.52553136125878774</c:v>
                </c:pt>
                <c:pt idx="6">
                  <c:v>0.55213822063229212</c:v>
                </c:pt>
                <c:pt idx="7">
                  <c:v>0.57338966986368622</c:v>
                </c:pt>
                <c:pt idx="8">
                  <c:v>0.58928570895297039</c:v>
                </c:pt>
                <c:pt idx="9">
                  <c:v>0.59982633790014439</c:v>
                </c:pt>
                <c:pt idx="10">
                  <c:v>0.60501155670520834</c:v>
                </c:pt>
                <c:pt idx="11">
                  <c:v>0.60484136536816224</c:v>
                </c:pt>
                <c:pt idx="12">
                  <c:v>0.59931576388900609</c:v>
                </c:pt>
                <c:pt idx="13">
                  <c:v>0.58843475226773978</c:v>
                </c:pt>
                <c:pt idx="14">
                  <c:v>0.57219833050436331</c:v>
                </c:pt>
                <c:pt idx="15">
                  <c:v>0.55060649859887689</c:v>
                </c:pt>
                <c:pt idx="16">
                  <c:v>0.52365925655128043</c:v>
                </c:pt>
                <c:pt idx="17">
                  <c:v>0.49135660436157369</c:v>
                </c:pt>
                <c:pt idx="18">
                  <c:v>0.45369854202975701</c:v>
                </c:pt>
                <c:pt idx="19">
                  <c:v>0.41068506955583028</c:v>
                </c:pt>
                <c:pt idx="20">
                  <c:v>0.36231618693979339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C8-45DD-8941-E387AED1223A}"/>
            </c:ext>
          </c:extLst>
        </c:ser>
        <c:ser>
          <c:idx val="4"/>
          <c:order val="3"/>
          <c:tx>
            <c:v>Calibration efficiency</c:v>
          </c:tx>
          <c:spPr>
            <a:ln w="34925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7"/>
            <c:spPr>
              <a:noFill/>
              <a:ln w="19050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Pumpcalibration!$C$15:$E$15</c:f>
              <c:numCache>
                <c:formatCode>General</c:formatCode>
                <c:ptCount val="3"/>
                <c:pt idx="0">
                  <c:v>60</c:v>
                </c:pt>
                <c:pt idx="1">
                  <c:v>110</c:v>
                </c:pt>
                <c:pt idx="2">
                  <c:v>170</c:v>
                </c:pt>
              </c:numCache>
            </c:numRef>
          </c:xVal>
          <c:yVal>
            <c:numRef>
              <c:f>Pumpcalibration!$C$17:$E$17</c:f>
              <c:numCache>
                <c:formatCode>0.0%</c:formatCode>
                <c:ptCount val="3"/>
                <c:pt idx="0">
                  <c:v>0.54196476923076919</c:v>
                </c:pt>
                <c:pt idx="1">
                  <c:v>0.60547626562500001</c:v>
                </c:pt>
                <c:pt idx="2">
                  <c:v>0.52810499999999994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C8-45DD-8941-E387AED1223A}"/>
            </c:ext>
          </c:extLst>
        </c:ser>
        <c:ser>
          <c:idx val="6"/>
          <c:order val="5"/>
          <c:tx>
            <c:strRef>
              <c:f>Pumpcalibration!$AG$9</c:f>
              <c:strCache>
                <c:ptCount val="1"/>
                <c:pt idx="0">
                  <c:v>Efficiency at VFD limit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Pumpcalibration!$Z$10:$Z$30</c:f>
              <c:numCache>
                <c:formatCode>0.0</c:formatCode>
                <c:ptCount val="21"/>
                <c:pt idx="0" formatCode="General">
                  <c:v>0</c:v>
                </c:pt>
                <c:pt idx="1">
                  <c:v>10.727014078540975</c:v>
                </c:pt>
                <c:pt idx="2">
                  <c:v>21.45402815708195</c:v>
                </c:pt>
                <c:pt idx="3">
                  <c:v>32.181042235622925</c:v>
                </c:pt>
                <c:pt idx="4">
                  <c:v>42.9080563141639</c:v>
                </c:pt>
                <c:pt idx="5">
                  <c:v>53.635070392704876</c:v>
                </c:pt>
                <c:pt idx="6">
                  <c:v>64.362084471245851</c:v>
                </c:pt>
                <c:pt idx="7">
                  <c:v>75.089098549786826</c:v>
                </c:pt>
                <c:pt idx="8">
                  <c:v>85.816112628327801</c:v>
                </c:pt>
                <c:pt idx="9">
                  <c:v>96.543126706868776</c:v>
                </c:pt>
                <c:pt idx="10">
                  <c:v>107.27014078540975</c:v>
                </c:pt>
                <c:pt idx="11">
                  <c:v>117.99715486395073</c:v>
                </c:pt>
                <c:pt idx="12">
                  <c:v>128.7241689424917</c:v>
                </c:pt>
                <c:pt idx="13">
                  <c:v>139.45118302103268</c:v>
                </c:pt>
                <c:pt idx="14">
                  <c:v>150.17819709957365</c:v>
                </c:pt>
                <c:pt idx="15">
                  <c:v>160.90521117811463</c:v>
                </c:pt>
                <c:pt idx="16">
                  <c:v>171.6322252566556</c:v>
                </c:pt>
                <c:pt idx="17">
                  <c:v>182.35923933519658</c:v>
                </c:pt>
                <c:pt idx="18">
                  <c:v>193.08625341373755</c:v>
                </c:pt>
                <c:pt idx="19">
                  <c:v>203.81326749227853</c:v>
                </c:pt>
                <c:pt idx="20">
                  <c:v>214.5402815708195</c:v>
                </c:pt>
              </c:numCache>
            </c:numRef>
          </c:xVal>
          <c:yVal>
            <c:numRef>
              <c:f>Pumpcalibration!$AG$10:$AG$30</c:f>
              <c:numCache>
                <c:formatCode>0%</c:formatCode>
                <c:ptCount val="21"/>
                <c:pt idx="0">
                  <c:v>0</c:v>
                </c:pt>
                <c:pt idx="1">
                  <c:v>0.1564530122993561</c:v>
                </c:pt>
                <c:pt idx="2">
                  <c:v>0.28054829318007701</c:v>
                </c:pt>
                <c:pt idx="3">
                  <c:v>0.37228584264216263</c:v>
                </c:pt>
                <c:pt idx="4">
                  <c:v>0.43166566068561307</c:v>
                </c:pt>
                <c:pt idx="5">
                  <c:v>0.45868774731042822</c:v>
                </c:pt>
                <c:pt idx="6">
                  <c:v>0.45335210251660829</c:v>
                </c:pt>
                <c:pt idx="7">
                  <c:v>0.41565872630415301</c:v>
                </c:pt>
                <c:pt idx="8">
                  <c:v>0.34560761867306256</c:v>
                </c:pt>
                <c:pt idx="9">
                  <c:v>0.2431987796233368</c:v>
                </c:pt>
                <c:pt idx="10">
                  <c:v>0.10843220915497587</c:v>
                </c:pt>
                <c:pt idx="11">
                  <c:v>-5.8692092732020251E-2</c:v>
                </c:pt>
                <c:pt idx="12">
                  <c:v>-0.25817412603765133</c:v>
                </c:pt>
                <c:pt idx="13">
                  <c:v>-0.49001389076191781</c:v>
                </c:pt>
                <c:pt idx="14">
                  <c:v>-0.75421138690481992</c:v>
                </c:pt>
                <c:pt idx="15">
                  <c:v>-1.0507666144663563</c:v>
                </c:pt>
                <c:pt idx="16">
                  <c:v>-1.3796795734465293</c:v>
                </c:pt>
                <c:pt idx="17">
                  <c:v>-1.7409502638453369</c:v>
                </c:pt>
                <c:pt idx="18">
                  <c:v>-2.1345786856627793</c:v>
                </c:pt>
                <c:pt idx="19">
                  <c:v>-2.5605648388988573</c:v>
                </c:pt>
                <c:pt idx="20">
                  <c:v>-3.0189087235535705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8D-4696-8E7E-1EEA7A1F0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808952"/>
        <c:axId val="651807640"/>
      </c:scatterChart>
      <c:valAx>
        <c:axId val="64640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[l/s]</a:t>
                </a:r>
              </a:p>
            </c:rich>
          </c:tx>
          <c:layout>
            <c:manualLayout>
              <c:xMode val="edge"/>
              <c:yMode val="edge"/>
              <c:x val="0.45263924066025313"/>
              <c:y val="0.81473902198018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01760"/>
        <c:crosses val="autoZero"/>
        <c:crossBetween val="midCat"/>
      </c:valAx>
      <c:valAx>
        <c:axId val="646401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 [m]</a:t>
                </a:r>
              </a:p>
            </c:rich>
          </c:tx>
          <c:layout>
            <c:manualLayout>
              <c:xMode val="edge"/>
              <c:yMode val="edge"/>
              <c:x val="2.0918402777777797E-3"/>
              <c:y val="0.320541503267973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00976"/>
        <c:crosses val="autoZero"/>
        <c:crossBetween val="midCat"/>
      </c:valAx>
      <c:valAx>
        <c:axId val="651807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808952"/>
        <c:crosses val="max"/>
        <c:crossBetween val="midCat"/>
      </c:valAx>
      <c:valAx>
        <c:axId val="651808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1807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343804129753467"/>
          <c:w val="1"/>
          <c:h val="0.11656195870246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Efficiency under VFD</a:t>
            </a:r>
          </a:p>
        </c:rich>
      </c:tx>
      <c:layout>
        <c:manualLayout>
          <c:xMode val="edge"/>
          <c:yMode val="edge"/>
          <c:x val="0.3210766466048928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10724701976089E-2"/>
          <c:y val="9.3264260546365871E-2"/>
          <c:w val="0.66303359668382877"/>
          <c:h val="0.83127740905873471"/>
        </c:manualLayout>
      </c:layout>
      <c:scatterChart>
        <c:scatterStyle val="lineMarker"/>
        <c:varyColors val="0"/>
        <c:ser>
          <c:idx val="3"/>
          <c:order val="3"/>
          <c:tx>
            <c:v>Peak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7"/>
            <c:spPr>
              <a:noFill/>
              <a:ln w="25400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(Pumpcalibration!$C$25,Pumpcalibration!$C$25,Pumpcalibration!$C$25)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(Pumpcalibration!$D$21,Pumpcalibration!$C$29,Pumpcalibration!$C$28)</c:f>
              <c:numCache>
                <c:formatCode>0%</c:formatCode>
                <c:ptCount val="3"/>
                <c:pt idx="0" formatCode="0.0%">
                  <c:v>0.70815937500000015</c:v>
                </c:pt>
                <c:pt idx="1">
                  <c:v>0.95</c:v>
                </c:pt>
                <c:pt idx="2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D3-4907-9B8C-38BD5A18D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025160"/>
        <c:axId val="647025944"/>
      </c:scatterChart>
      <c:scatterChart>
        <c:scatterStyle val="smoothMarker"/>
        <c:varyColors val="0"/>
        <c:ser>
          <c:idx val="0"/>
          <c:order val="0"/>
          <c:tx>
            <c:v>Pneumatic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Pumpcalibration!$AG$35:$AG$40</c:f>
              <c:numCache>
                <c:formatCode>0%</c:formatCode>
                <c:ptCount val="6"/>
                <c:pt idx="0">
                  <c:v>0.4</c:v>
                </c:pt>
                <c:pt idx="1">
                  <c:v>0.52</c:v>
                </c:pt>
                <c:pt idx="2">
                  <c:v>0.64</c:v>
                </c:pt>
                <c:pt idx="3">
                  <c:v>0.76</c:v>
                </c:pt>
                <c:pt idx="4">
                  <c:v>0.88</c:v>
                </c:pt>
                <c:pt idx="5">
                  <c:v>1</c:v>
                </c:pt>
              </c:numCache>
            </c:numRef>
          </c:xVal>
          <c:yVal>
            <c:numRef>
              <c:f>Pumpcalibration!$AH$35:$AH$40</c:f>
              <c:numCache>
                <c:formatCode>0%</c:formatCode>
                <c:ptCount val="6"/>
                <c:pt idx="0">
                  <c:v>0.62318025000000021</c:v>
                </c:pt>
                <c:pt idx="1">
                  <c:v>0.65333413306451638</c:v>
                </c:pt>
                <c:pt idx="2">
                  <c:v>0.67370837837837849</c:v>
                </c:pt>
                <c:pt idx="3">
                  <c:v>0.6883967877906978</c:v>
                </c:pt>
                <c:pt idx="4">
                  <c:v>0.69948803571428586</c:v>
                </c:pt>
                <c:pt idx="5">
                  <c:v>0.70815937500000015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D3-4907-9B8C-38BD5A18D174}"/>
            </c:ext>
          </c:extLst>
        </c:ser>
        <c:ser>
          <c:idx val="1"/>
          <c:order val="1"/>
          <c:tx>
            <c:v>Motor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Pumpcalibration!$AG$35:$AG$40</c:f>
              <c:numCache>
                <c:formatCode>0%</c:formatCode>
                <c:ptCount val="6"/>
                <c:pt idx="0">
                  <c:v>0.4</c:v>
                </c:pt>
                <c:pt idx="1">
                  <c:v>0.52</c:v>
                </c:pt>
                <c:pt idx="2">
                  <c:v>0.64</c:v>
                </c:pt>
                <c:pt idx="3">
                  <c:v>0.76</c:v>
                </c:pt>
                <c:pt idx="4">
                  <c:v>0.88</c:v>
                </c:pt>
                <c:pt idx="5">
                  <c:v>1</c:v>
                </c:pt>
              </c:numCache>
            </c:numRef>
          </c:xVal>
          <c:yVal>
            <c:numRef>
              <c:f>Pumpcalibration!$AI$35:$AI$40</c:f>
              <c:numCache>
                <c:formatCode>0%</c:formatCode>
                <c:ptCount val="6"/>
                <c:pt idx="0">
                  <c:v>0.88666666666666671</c:v>
                </c:pt>
                <c:pt idx="1">
                  <c:v>0.90999999999999981</c:v>
                </c:pt>
                <c:pt idx="2">
                  <c:v>0.92521739130434766</c:v>
                </c:pt>
                <c:pt idx="3">
                  <c:v>0.93592592592592583</c:v>
                </c:pt>
                <c:pt idx="4">
                  <c:v>0.94387096774193535</c:v>
                </c:pt>
                <c:pt idx="5">
                  <c:v>0.95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D3-4907-9B8C-38BD5A18D174}"/>
            </c:ext>
          </c:extLst>
        </c:ser>
        <c:ser>
          <c:idx val="2"/>
          <c:order val="2"/>
          <c:tx>
            <c:v>Inverter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Pumpcalibration!$AG$35:$AG$40</c:f>
              <c:numCache>
                <c:formatCode>0%</c:formatCode>
                <c:ptCount val="6"/>
                <c:pt idx="0">
                  <c:v>0.4</c:v>
                </c:pt>
                <c:pt idx="1">
                  <c:v>0.52</c:v>
                </c:pt>
                <c:pt idx="2">
                  <c:v>0.64</c:v>
                </c:pt>
                <c:pt idx="3">
                  <c:v>0.76</c:v>
                </c:pt>
                <c:pt idx="4">
                  <c:v>0.88</c:v>
                </c:pt>
                <c:pt idx="5">
                  <c:v>1</c:v>
                </c:pt>
              </c:numCache>
            </c:numRef>
          </c:xVal>
          <c:yVal>
            <c:numRef>
              <c:f>Pumpcalibration!$AJ$35:$AJ$40</c:f>
              <c:numCache>
                <c:formatCode>0%</c:formatCode>
                <c:ptCount val="6"/>
                <c:pt idx="0">
                  <c:v>0.84000000000000008</c:v>
                </c:pt>
                <c:pt idx="1">
                  <c:v>0.86210526315789471</c:v>
                </c:pt>
                <c:pt idx="2">
                  <c:v>0.87652173913043474</c:v>
                </c:pt>
                <c:pt idx="3">
                  <c:v>0.88666666666666671</c:v>
                </c:pt>
                <c:pt idx="4">
                  <c:v>0.89419354838709675</c:v>
                </c:pt>
                <c:pt idx="5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D3-4907-9B8C-38BD5A18D174}"/>
            </c:ext>
          </c:extLst>
        </c:ser>
        <c:ser>
          <c:idx val="4"/>
          <c:order val="4"/>
          <c:tx>
            <c:v>Half value</c:v>
          </c:tx>
          <c:spPr>
            <a:ln w="34925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7"/>
            <c:spPr>
              <a:noFill/>
              <a:ln w="25400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(Pumpcalibration!$C$32,Pumpcalibration!$C$31,Pumpcalibration!$C$30)</c:f>
              <c:numCache>
                <c:formatCode>0%</c:formatCode>
                <c:ptCount val="3"/>
                <c:pt idx="0">
                  <c:v>0.1</c:v>
                </c:pt>
                <c:pt idx="1">
                  <c:v>0.05</c:v>
                </c:pt>
                <c:pt idx="2">
                  <c:v>0.05</c:v>
                </c:pt>
              </c:numCache>
            </c:numRef>
          </c:xVal>
          <c:yVal>
            <c:numRef>
              <c:f>Pumpcalibration!$AH$32:$AJ$32</c:f>
              <c:numCache>
                <c:formatCode>0%</c:formatCode>
                <c:ptCount val="3"/>
                <c:pt idx="0">
                  <c:v>0.38948765625000009</c:v>
                </c:pt>
                <c:pt idx="1">
                  <c:v>0.49874999999999997</c:v>
                </c:pt>
                <c:pt idx="2">
                  <c:v>0.47250000000000003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5D3-4907-9B8C-38BD5A18D174}"/>
            </c:ext>
          </c:extLst>
        </c:ser>
        <c:ser>
          <c:idx val="5"/>
          <c:order val="5"/>
          <c:tx>
            <c:v>Extrapolation: Pneumatic</c:v>
          </c:tx>
          <c:spPr>
            <a:ln w="34925" cap="rnd">
              <a:solidFill>
                <a:schemeClr val="accent1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(Pumpcalibration!$C$32,Pumpcalibration!$AG$35)</c:f>
              <c:numCache>
                <c:formatCode>0%</c:formatCode>
                <c:ptCount val="2"/>
                <c:pt idx="0">
                  <c:v>0.1</c:v>
                </c:pt>
                <c:pt idx="1">
                  <c:v>0.4</c:v>
                </c:pt>
              </c:numCache>
            </c:numRef>
          </c:xVal>
          <c:yVal>
            <c:numRef>
              <c:f>(Pumpcalibration!$AH$32,Pumpcalibration!$AH$35)</c:f>
              <c:numCache>
                <c:formatCode>0%</c:formatCode>
                <c:ptCount val="2"/>
                <c:pt idx="0">
                  <c:v>0.38948765625000009</c:v>
                </c:pt>
                <c:pt idx="1">
                  <c:v>0.62318025000000021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5D3-4907-9B8C-38BD5A18D174}"/>
            </c:ext>
          </c:extLst>
        </c:ser>
        <c:ser>
          <c:idx val="6"/>
          <c:order val="6"/>
          <c:tx>
            <c:v>Extrapolation: Motor</c:v>
          </c:tx>
          <c:spPr>
            <a:ln w="34925" cap="rnd">
              <a:solidFill>
                <a:schemeClr val="accent2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(Pumpcalibration!$C$31,Pumpcalibration!$AG$35)</c:f>
              <c:numCache>
                <c:formatCode>0%</c:formatCode>
                <c:ptCount val="2"/>
                <c:pt idx="0">
                  <c:v>0.05</c:v>
                </c:pt>
                <c:pt idx="1">
                  <c:v>0.4</c:v>
                </c:pt>
              </c:numCache>
            </c:numRef>
          </c:xVal>
          <c:yVal>
            <c:numRef>
              <c:f>(Pumpcalibration!$AI$32,Pumpcalibration!$AI$35)</c:f>
              <c:numCache>
                <c:formatCode>0%</c:formatCode>
                <c:ptCount val="2"/>
                <c:pt idx="0">
                  <c:v>0.49874999999999997</c:v>
                </c:pt>
                <c:pt idx="1">
                  <c:v>0.88666666666666671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5D3-4907-9B8C-38BD5A18D174}"/>
            </c:ext>
          </c:extLst>
        </c:ser>
        <c:ser>
          <c:idx val="7"/>
          <c:order val="7"/>
          <c:tx>
            <c:v>Extrapolation: Inverter</c:v>
          </c:tx>
          <c:spPr>
            <a:ln w="3492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(Pumpcalibration!$C$30,Pumpcalibration!$AG$35)</c:f>
              <c:numCache>
                <c:formatCode>0%</c:formatCode>
                <c:ptCount val="2"/>
                <c:pt idx="0">
                  <c:v>0.05</c:v>
                </c:pt>
                <c:pt idx="1">
                  <c:v>0.4</c:v>
                </c:pt>
              </c:numCache>
            </c:numRef>
          </c:xVal>
          <c:yVal>
            <c:numRef>
              <c:f>(Pumpcalibration!$AJ$32,Pumpcalibration!$AJ$35)</c:f>
              <c:numCache>
                <c:formatCode>0%</c:formatCode>
                <c:ptCount val="2"/>
                <c:pt idx="0">
                  <c:v>0.47250000000000003</c:v>
                </c:pt>
                <c:pt idx="1">
                  <c:v>0.84000000000000008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5D3-4907-9B8C-38BD5A18D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025160"/>
        <c:axId val="647025944"/>
      </c:scatterChart>
      <c:valAx>
        <c:axId val="6470251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frequency</a:t>
                </a:r>
              </a:p>
            </c:rich>
          </c:tx>
          <c:layout>
            <c:manualLayout>
              <c:xMode val="edge"/>
              <c:yMode val="edge"/>
              <c:x val="0.8044911108376902"/>
              <c:y val="0.93365669166294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25944"/>
        <c:crosses val="autoZero"/>
        <c:crossBetween val="midCat"/>
        <c:majorUnit val="0.1"/>
      </c:valAx>
      <c:valAx>
        <c:axId val="647025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efficiency</a:t>
                </a:r>
              </a:p>
            </c:rich>
          </c:tx>
          <c:layout>
            <c:manualLayout>
              <c:xMode val="edge"/>
              <c:yMode val="edge"/>
              <c:x val="2.1493767448631067E-3"/>
              <c:y val="0.37834132587362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25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48641281273233"/>
          <c:y val="7.4302546381547152E-2"/>
          <c:w val="0.23231274185470607"/>
          <c:h val="0.84691477496819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Pumpcalibration!$AJ$9</c:f>
              <c:strCache>
                <c:ptCount val="1"/>
                <c:pt idx="0">
                  <c:v>Power demand at flow target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Pumpcalibration!$Z$10:$Z$30</c:f>
              <c:numCache>
                <c:formatCode>0.0</c:formatCode>
                <c:ptCount val="21"/>
                <c:pt idx="0" formatCode="General">
                  <c:v>0</c:v>
                </c:pt>
                <c:pt idx="1">
                  <c:v>10.727014078540975</c:v>
                </c:pt>
                <c:pt idx="2">
                  <c:v>21.45402815708195</c:v>
                </c:pt>
                <c:pt idx="3">
                  <c:v>32.181042235622925</c:v>
                </c:pt>
                <c:pt idx="4">
                  <c:v>42.9080563141639</c:v>
                </c:pt>
                <c:pt idx="5">
                  <c:v>53.635070392704876</c:v>
                </c:pt>
                <c:pt idx="6">
                  <c:v>64.362084471245851</c:v>
                </c:pt>
                <c:pt idx="7">
                  <c:v>75.089098549786826</c:v>
                </c:pt>
                <c:pt idx="8">
                  <c:v>85.816112628327801</c:v>
                </c:pt>
                <c:pt idx="9">
                  <c:v>96.543126706868776</c:v>
                </c:pt>
                <c:pt idx="10">
                  <c:v>107.27014078540975</c:v>
                </c:pt>
                <c:pt idx="11">
                  <c:v>117.99715486395073</c:v>
                </c:pt>
                <c:pt idx="12">
                  <c:v>128.7241689424917</c:v>
                </c:pt>
                <c:pt idx="13">
                  <c:v>139.45118302103268</c:v>
                </c:pt>
                <c:pt idx="14">
                  <c:v>150.17819709957365</c:v>
                </c:pt>
                <c:pt idx="15">
                  <c:v>160.90521117811463</c:v>
                </c:pt>
                <c:pt idx="16">
                  <c:v>171.6322252566556</c:v>
                </c:pt>
                <c:pt idx="17">
                  <c:v>182.35923933519658</c:v>
                </c:pt>
                <c:pt idx="18">
                  <c:v>193.08625341373755</c:v>
                </c:pt>
                <c:pt idx="19">
                  <c:v>203.81326749227853</c:v>
                </c:pt>
                <c:pt idx="20">
                  <c:v>214.5402815708195</c:v>
                </c:pt>
              </c:numCache>
            </c:numRef>
          </c:xVal>
          <c:yVal>
            <c:numRef>
              <c:f>Pumpcalibration!$AJ$10:$AJ$30</c:f>
              <c:numCache>
                <c:formatCode>0.0</c:formatCode>
                <c:ptCount val="21"/>
                <c:pt idx="0">
                  <c:v>0</c:v>
                </c:pt>
                <c:pt idx="1">
                  <c:v>5.1245413893034275</c:v>
                </c:pt>
                <c:pt idx="2">
                  <c:v>8.6128653188141531</c:v>
                </c:pt>
                <c:pt idx="3">
                  <c:v>11.185762798073767</c:v>
                </c:pt>
                <c:pt idx="4">
                  <c:v>13.187456292878322</c:v>
                </c:pt>
                <c:pt idx="5">
                  <c:v>14.801444957304847</c:v>
                </c:pt>
                <c:pt idx="6">
                  <c:v>16.132675938184693</c:v>
                </c:pt>
                <c:pt idx="7">
                  <c:v>17.243411821330724</c:v>
                </c:pt>
                <c:pt idx="8">
                  <c:v>18.170394053879328</c:v>
                </c:pt>
                <c:pt idx="9">
                  <c:v>18.933463663829048</c:v>
                </c:pt>
                <c:pt idx="10">
                  <c:v>19.539781442200553</c:v>
                </c:pt>
                <c:pt idx="11">
                  <c:v>19.985393784690224</c:v>
                </c:pt>
                <c:pt idx="12">
                  <c:v>20.254755901709661</c:v>
                </c:pt>
                <c:pt idx="13">
                  <c:v>20.318087134338054</c:v>
                </c:pt>
                <c:pt idx="14">
                  <c:v>20.125636764327474</c:v>
                </c:pt>
                <c:pt idx="15">
                  <c:v>19.596580059410094</c:v>
                </c:pt>
                <c:pt idx="16">
                  <c:v>18.597286057179076</c:v>
                </c:pt>
                <c:pt idx="17">
                  <c:v>16.896132598167558</c:v>
                </c:pt>
                <c:pt idx="18">
                  <c:v>14.06002590069518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5D-4562-933B-41FE2FADC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399408"/>
        <c:axId val="646400584"/>
      </c:scatterChart>
      <c:valAx>
        <c:axId val="64639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00584"/>
        <c:crosses val="autoZero"/>
        <c:crossBetween val="midCat"/>
      </c:valAx>
      <c:valAx>
        <c:axId val="64640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399408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Actual pump curves</a:t>
            </a:r>
          </a:p>
        </c:rich>
      </c:tx>
      <c:layout>
        <c:manualLayout>
          <c:xMode val="edge"/>
          <c:yMode val="edge"/>
          <c:x val="0.30551299402328652"/>
          <c:y val="1.6557467776495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069618055555554E-2"/>
          <c:y val="2.5327450980392158E-2"/>
          <c:w val="0.80392795138888884"/>
          <c:h val="0.77524248366013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Pumpcalibration!$AH$9</c:f>
              <c:strCache>
                <c:ptCount val="1"/>
                <c:pt idx="0">
                  <c:v>Pump head at flow target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Pumpcalibration!$Z$10:$Z$30</c:f>
              <c:numCache>
                <c:formatCode>0.0</c:formatCode>
                <c:ptCount val="21"/>
                <c:pt idx="0" formatCode="General">
                  <c:v>0</c:v>
                </c:pt>
                <c:pt idx="1">
                  <c:v>10.727014078540975</c:v>
                </c:pt>
                <c:pt idx="2">
                  <c:v>21.45402815708195</c:v>
                </c:pt>
                <c:pt idx="3">
                  <c:v>32.181042235622925</c:v>
                </c:pt>
                <c:pt idx="4">
                  <c:v>42.9080563141639</c:v>
                </c:pt>
                <c:pt idx="5">
                  <c:v>53.635070392704876</c:v>
                </c:pt>
                <c:pt idx="6">
                  <c:v>64.362084471245851</c:v>
                </c:pt>
                <c:pt idx="7">
                  <c:v>75.089098549786826</c:v>
                </c:pt>
                <c:pt idx="8">
                  <c:v>85.816112628327801</c:v>
                </c:pt>
                <c:pt idx="9">
                  <c:v>96.543126706868776</c:v>
                </c:pt>
                <c:pt idx="10">
                  <c:v>107.27014078540975</c:v>
                </c:pt>
                <c:pt idx="11">
                  <c:v>117.99715486395073</c:v>
                </c:pt>
                <c:pt idx="12">
                  <c:v>128.7241689424917</c:v>
                </c:pt>
                <c:pt idx="13">
                  <c:v>139.45118302103268</c:v>
                </c:pt>
                <c:pt idx="14">
                  <c:v>150.17819709957365</c:v>
                </c:pt>
                <c:pt idx="15">
                  <c:v>160.90521117811463</c:v>
                </c:pt>
                <c:pt idx="16">
                  <c:v>171.6322252566556</c:v>
                </c:pt>
                <c:pt idx="17">
                  <c:v>182.35923933519658</c:v>
                </c:pt>
                <c:pt idx="18">
                  <c:v>193.08625341373755</c:v>
                </c:pt>
                <c:pt idx="19">
                  <c:v>203.81326749227853</c:v>
                </c:pt>
                <c:pt idx="20">
                  <c:v>214.5402815708195</c:v>
                </c:pt>
              </c:numCache>
            </c:numRef>
          </c:xVal>
          <c:yVal>
            <c:numRef>
              <c:f>Pumpcalibration!$AH$10:$AH$30</c:f>
              <c:numCache>
                <c:formatCode>0.0</c:formatCode>
                <c:ptCount val="21"/>
                <c:pt idx="0">
                  <c:v>14.971118593340815</c:v>
                </c:pt>
                <c:pt idx="1">
                  <c:v>14.556754976176883</c:v>
                </c:pt>
                <c:pt idx="2">
                  <c:v>14.097061213451259</c:v>
                </c:pt>
                <c:pt idx="3">
                  <c:v>13.592037305163943</c:v>
                </c:pt>
                <c:pt idx="4">
                  <c:v>13.041683251314936</c:v>
                </c:pt>
                <c:pt idx="5">
                  <c:v>12.445999051904238</c:v>
                </c:pt>
                <c:pt idx="6">
                  <c:v>11.804984706931849</c:v>
                </c:pt>
                <c:pt idx="7">
                  <c:v>11.118640216397768</c:v>
                </c:pt>
                <c:pt idx="8">
                  <c:v>10.386965580301997</c:v>
                </c:pt>
                <c:pt idx="9">
                  <c:v>9.6099607986445346</c:v>
                </c:pt>
                <c:pt idx="10">
                  <c:v>8.7876258714253801</c:v>
                </c:pt>
                <c:pt idx="11">
                  <c:v>7.9199607986445342</c:v>
                </c:pt>
                <c:pt idx="12">
                  <c:v>7.0069655803019968</c:v>
                </c:pt>
                <c:pt idx="13">
                  <c:v>6.0486402163977688</c:v>
                </c:pt>
                <c:pt idx="14">
                  <c:v>5.0449847069318485</c:v>
                </c:pt>
                <c:pt idx="15">
                  <c:v>3.9959990519042394</c:v>
                </c:pt>
                <c:pt idx="16">
                  <c:v>2.901683251314938</c:v>
                </c:pt>
                <c:pt idx="17">
                  <c:v>1.7620373051639426</c:v>
                </c:pt>
                <c:pt idx="18">
                  <c:v>0.57706121345126005</c:v>
                </c:pt>
                <c:pt idx="19">
                  <c:v>-0.65324502382311489</c:v>
                </c:pt>
                <c:pt idx="20">
                  <c:v>-1.928881406659184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2D-4952-ABF5-826968E2D372}"/>
            </c:ext>
          </c:extLst>
        </c:ser>
        <c:ser>
          <c:idx val="5"/>
          <c:order val="2"/>
          <c:tx>
            <c:strRef>
              <c:f>Pumpcalibration!$AC$9</c:f>
              <c:strCache>
                <c:ptCount val="1"/>
                <c:pt idx="0">
                  <c:v>Flow head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Pumpcalibration!$Z$10:$Z$30</c:f>
              <c:numCache>
                <c:formatCode>0.0</c:formatCode>
                <c:ptCount val="21"/>
                <c:pt idx="0" formatCode="General">
                  <c:v>0</c:v>
                </c:pt>
                <c:pt idx="1">
                  <c:v>10.727014078540975</c:v>
                </c:pt>
                <c:pt idx="2">
                  <c:v>21.45402815708195</c:v>
                </c:pt>
                <c:pt idx="3">
                  <c:v>32.181042235622925</c:v>
                </c:pt>
                <c:pt idx="4">
                  <c:v>42.9080563141639</c:v>
                </c:pt>
                <c:pt idx="5">
                  <c:v>53.635070392704876</c:v>
                </c:pt>
                <c:pt idx="6">
                  <c:v>64.362084471245851</c:v>
                </c:pt>
                <c:pt idx="7">
                  <c:v>75.089098549786826</c:v>
                </c:pt>
                <c:pt idx="8">
                  <c:v>85.816112628327801</c:v>
                </c:pt>
                <c:pt idx="9">
                  <c:v>96.543126706868776</c:v>
                </c:pt>
                <c:pt idx="10">
                  <c:v>107.27014078540975</c:v>
                </c:pt>
                <c:pt idx="11">
                  <c:v>117.99715486395073</c:v>
                </c:pt>
                <c:pt idx="12">
                  <c:v>128.7241689424917</c:v>
                </c:pt>
                <c:pt idx="13">
                  <c:v>139.45118302103268</c:v>
                </c:pt>
                <c:pt idx="14">
                  <c:v>150.17819709957365</c:v>
                </c:pt>
                <c:pt idx="15">
                  <c:v>160.90521117811463</c:v>
                </c:pt>
                <c:pt idx="16">
                  <c:v>171.6322252566556</c:v>
                </c:pt>
                <c:pt idx="17">
                  <c:v>182.35923933519658</c:v>
                </c:pt>
                <c:pt idx="18">
                  <c:v>193.08625341373755</c:v>
                </c:pt>
                <c:pt idx="19">
                  <c:v>203.81326749227853</c:v>
                </c:pt>
                <c:pt idx="20">
                  <c:v>214.5402815708195</c:v>
                </c:pt>
              </c:numCache>
            </c:numRef>
          </c:xVal>
          <c:yVal>
            <c:numRef>
              <c:f>Pumpcalibration!$AC$10:$AC$30</c:f>
              <c:numCache>
                <c:formatCode>0.00</c:formatCode>
                <c:ptCount val="21"/>
                <c:pt idx="0">
                  <c:v>6</c:v>
                </c:pt>
                <c:pt idx="1">
                  <c:v>6.0001491292050293</c:v>
                </c:pt>
                <c:pt idx="2">
                  <c:v>6.0005965168201181</c:v>
                </c:pt>
                <c:pt idx="3">
                  <c:v>6.0013421628452646</c:v>
                </c:pt>
                <c:pt idx="4">
                  <c:v>6.0023860672804705</c:v>
                </c:pt>
                <c:pt idx="5">
                  <c:v>6.0037282301257351</c:v>
                </c:pt>
                <c:pt idx="6">
                  <c:v>6.0053686513810591</c:v>
                </c:pt>
                <c:pt idx="7">
                  <c:v>6.0073073310464418</c:v>
                </c:pt>
                <c:pt idx="8">
                  <c:v>6.009544269121883</c:v>
                </c:pt>
                <c:pt idx="9">
                  <c:v>6.0120794656073828</c:v>
                </c:pt>
                <c:pt idx="10">
                  <c:v>6.0149129205029412</c:v>
                </c:pt>
                <c:pt idx="11">
                  <c:v>6.0180446338085591</c:v>
                </c:pt>
                <c:pt idx="12">
                  <c:v>6.0214746055242356</c:v>
                </c:pt>
                <c:pt idx="13">
                  <c:v>6.0252028356499716</c:v>
                </c:pt>
                <c:pt idx="14">
                  <c:v>6.0292293241857653</c:v>
                </c:pt>
                <c:pt idx="15">
                  <c:v>6.0335540711316185</c:v>
                </c:pt>
                <c:pt idx="16">
                  <c:v>6.0381770764875302</c:v>
                </c:pt>
                <c:pt idx="17">
                  <c:v>6.0430983402535015</c:v>
                </c:pt>
                <c:pt idx="18">
                  <c:v>6.0483178624295313</c:v>
                </c:pt>
                <c:pt idx="19">
                  <c:v>6.0538356430156197</c:v>
                </c:pt>
                <c:pt idx="20">
                  <c:v>6.0596516820117667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2D-4952-ABF5-826968E2D372}"/>
            </c:ext>
          </c:extLst>
        </c:ser>
        <c:ser>
          <c:idx val="2"/>
          <c:order val="4"/>
          <c:tx>
            <c:v>Operating point</c:v>
          </c:tx>
          <c:spPr>
            <a:ln w="34925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7"/>
            <c:spPr>
              <a:solidFill>
                <a:srgbClr val="0070C0"/>
              </a:solidFill>
              <a:ln w="19050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Pumpcalibration!$C$9</c:f>
              <c:numCache>
                <c:formatCode>0.00</c:formatCode>
                <c:ptCount val="1"/>
                <c:pt idx="0">
                  <c:v>138.88888888888889</c:v>
                </c:pt>
              </c:numCache>
            </c:numRef>
          </c:xVal>
          <c:yVal>
            <c:numRef>
              <c:f>Pumpcalibration!$C$46</c:f>
              <c:numCache>
                <c:formatCode>0.00</c:formatCode>
                <c:ptCount val="1"/>
                <c:pt idx="0">
                  <c:v>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42D-4952-ABF5-826968E2D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400976"/>
        <c:axId val="646401760"/>
      </c:scatterChart>
      <c:scatterChart>
        <c:scatterStyle val="smoothMarker"/>
        <c:varyColors val="0"/>
        <c:ser>
          <c:idx val="1"/>
          <c:order val="1"/>
          <c:tx>
            <c:strRef>
              <c:f>Pumpcalibration!$AI$9</c:f>
              <c:strCache>
                <c:ptCount val="1"/>
                <c:pt idx="0">
                  <c:v>Efficiency at flow target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Pumpcalibration!$Z$10:$Z$30</c:f>
              <c:numCache>
                <c:formatCode>0.0</c:formatCode>
                <c:ptCount val="21"/>
                <c:pt idx="0" formatCode="General">
                  <c:v>0</c:v>
                </c:pt>
                <c:pt idx="1">
                  <c:v>10.727014078540975</c:v>
                </c:pt>
                <c:pt idx="2">
                  <c:v>21.45402815708195</c:v>
                </c:pt>
                <c:pt idx="3">
                  <c:v>32.181042235622925</c:v>
                </c:pt>
                <c:pt idx="4">
                  <c:v>42.9080563141639</c:v>
                </c:pt>
                <c:pt idx="5">
                  <c:v>53.635070392704876</c:v>
                </c:pt>
                <c:pt idx="6">
                  <c:v>64.362084471245851</c:v>
                </c:pt>
                <c:pt idx="7">
                  <c:v>75.089098549786826</c:v>
                </c:pt>
                <c:pt idx="8">
                  <c:v>85.816112628327801</c:v>
                </c:pt>
                <c:pt idx="9">
                  <c:v>96.543126706868776</c:v>
                </c:pt>
                <c:pt idx="10">
                  <c:v>107.27014078540975</c:v>
                </c:pt>
                <c:pt idx="11">
                  <c:v>117.99715486395073</c:v>
                </c:pt>
                <c:pt idx="12">
                  <c:v>128.7241689424917</c:v>
                </c:pt>
                <c:pt idx="13">
                  <c:v>139.45118302103268</c:v>
                </c:pt>
                <c:pt idx="14">
                  <c:v>150.17819709957365</c:v>
                </c:pt>
                <c:pt idx="15">
                  <c:v>160.90521117811463</c:v>
                </c:pt>
                <c:pt idx="16">
                  <c:v>171.6322252566556</c:v>
                </c:pt>
                <c:pt idx="17">
                  <c:v>182.35923933519658</c:v>
                </c:pt>
                <c:pt idx="18">
                  <c:v>193.08625341373755</c:v>
                </c:pt>
                <c:pt idx="19">
                  <c:v>203.81326749227853</c:v>
                </c:pt>
                <c:pt idx="20">
                  <c:v>214.5402815708195</c:v>
                </c:pt>
              </c:numCache>
            </c:numRef>
          </c:xVal>
          <c:yVal>
            <c:numRef>
              <c:f>Pumpcalibration!$AI$10:$AI$30</c:f>
              <c:numCache>
                <c:formatCode>0.0%</c:formatCode>
                <c:ptCount val="21"/>
                <c:pt idx="0">
                  <c:v>0.27881049511509315</c:v>
                </c:pt>
                <c:pt idx="1">
                  <c:v>0.33853109766393269</c:v>
                </c:pt>
                <c:pt idx="2">
                  <c:v>0.3916100069726518</c:v>
                </c:pt>
                <c:pt idx="3">
                  <c:v>0.43804722304125038</c:v>
                </c:pt>
                <c:pt idx="4">
                  <c:v>0.47784274586972852</c:v>
                </c:pt>
                <c:pt idx="5">
                  <c:v>0.51099657545808608</c:v>
                </c:pt>
                <c:pt idx="6">
                  <c:v>0.53750871180632331</c:v>
                </c:pt>
                <c:pt idx="7">
                  <c:v>0.55737915491444001</c:v>
                </c:pt>
                <c:pt idx="8">
                  <c:v>0.57060790478243639</c:v>
                </c:pt>
                <c:pt idx="9">
                  <c:v>0.57719496141031201</c:v>
                </c:pt>
                <c:pt idx="10">
                  <c:v>0.57714032479806732</c:v>
                </c:pt>
                <c:pt idx="11">
                  <c:v>0.5704439949457023</c:v>
                </c:pt>
                <c:pt idx="12">
                  <c:v>0.55710597185321664</c:v>
                </c:pt>
                <c:pt idx="13">
                  <c:v>0.53712625552061044</c:v>
                </c:pt>
                <c:pt idx="14">
                  <c:v>0.51050484594788381</c:v>
                </c:pt>
                <c:pt idx="15">
                  <c:v>0.47724174313503698</c:v>
                </c:pt>
                <c:pt idx="16">
                  <c:v>0.43733694708206938</c:v>
                </c:pt>
                <c:pt idx="17">
                  <c:v>0.39079045778898125</c:v>
                </c:pt>
                <c:pt idx="18">
                  <c:v>0.3376022752557728</c:v>
                </c:pt>
                <c:pt idx="19">
                  <c:v>0.2777723994824437</c:v>
                </c:pt>
                <c:pt idx="20">
                  <c:v>0.21130083046899428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42D-4952-ABF5-826968E2D372}"/>
            </c:ext>
          </c:extLst>
        </c:ser>
        <c:ser>
          <c:idx val="3"/>
          <c:order val="3"/>
          <c:tx>
            <c:v>Operational efficiency</c:v>
          </c:tx>
          <c:spPr>
            <a:ln w="34925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7"/>
            <c:spPr>
              <a:noFill/>
              <a:ln w="19050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Pumpcalibration!$C$47</c:f>
              <c:numCache>
                <c:formatCode>0.00</c:formatCode>
                <c:ptCount val="1"/>
                <c:pt idx="0">
                  <c:v>138.88888888888889</c:v>
                </c:pt>
              </c:numCache>
            </c:numRef>
          </c:xVal>
          <c:yVal>
            <c:numRef>
              <c:f>Pumpcalibration!$C$48</c:f>
              <c:numCache>
                <c:formatCode>0.0%</c:formatCode>
                <c:ptCount val="1"/>
                <c:pt idx="0">
                  <c:v>0.53833851170187863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42D-4952-ABF5-826968E2D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808952"/>
        <c:axId val="651807640"/>
      </c:scatterChart>
      <c:valAx>
        <c:axId val="64640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[l/s]</a:t>
                </a:r>
              </a:p>
            </c:rich>
          </c:tx>
          <c:layout>
            <c:manualLayout>
              <c:xMode val="edge"/>
              <c:yMode val="edge"/>
              <c:x val="0.45263924066025313"/>
              <c:y val="0.81473902198018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01760"/>
        <c:crosses val="autoZero"/>
        <c:crossBetween val="midCat"/>
      </c:valAx>
      <c:valAx>
        <c:axId val="646401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 [m]</a:t>
                </a:r>
              </a:p>
            </c:rich>
          </c:tx>
          <c:layout>
            <c:manualLayout>
              <c:xMode val="edge"/>
              <c:yMode val="edge"/>
              <c:x val="2.0918402777777797E-3"/>
              <c:y val="0.320541503267973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00976"/>
        <c:crosses val="autoZero"/>
        <c:crossBetween val="midCat"/>
      </c:valAx>
      <c:valAx>
        <c:axId val="651807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808952"/>
        <c:crosses val="max"/>
        <c:crossBetween val="midCat"/>
      </c:valAx>
      <c:valAx>
        <c:axId val="651808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1807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343804129753467"/>
          <c:w val="1"/>
          <c:h val="0.1165619276727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444470</xdr:colOff>
      <xdr:row>29</xdr:row>
      <xdr:rowOff>82617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5E8B15E2-A99A-4713-95A5-B15EE6D05FDA}"/>
            </a:ext>
          </a:extLst>
        </xdr:cNvPr>
        <xdr:cNvGrpSpPr/>
      </xdr:nvGrpSpPr>
      <xdr:grpSpPr>
        <a:xfrm>
          <a:off x="609600" y="1228725"/>
          <a:ext cx="8367683" cy="4352993"/>
          <a:chOff x="580694" y="1760607"/>
          <a:chExt cx="8340557" cy="4273617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976AD13A-7B9F-48AA-BB7D-4ECB2C2515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80694" y="1760607"/>
            <a:ext cx="8340557" cy="4273617"/>
          </a:xfrm>
          <a:prstGeom prst="rect">
            <a:avLst/>
          </a:prstGeom>
          <a:scene3d>
            <a:camera prst="orthographicFront"/>
            <a:lightRig rig="threePt" dir="t"/>
          </a:scene3d>
          <a:sp3d>
            <a:bevelT w="152400" h="50800" prst="softRound"/>
          </a:sp3d>
        </xdr:spPr>
      </xdr:pic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C9B08E28-7F6E-4305-81F5-669390E6265C}"/>
              </a:ext>
            </a:extLst>
          </xdr:cNvPr>
          <xdr:cNvSpPr txBox="1"/>
        </xdr:nvSpPr>
        <xdr:spPr>
          <a:xfrm>
            <a:off x="4454939" y="2508526"/>
            <a:ext cx="1974574" cy="476802"/>
          </a:xfrm>
          <a:prstGeom prst="rect">
            <a:avLst/>
          </a:prstGeom>
          <a:ln/>
          <a:scene3d>
            <a:camera prst="orthographicFront"/>
            <a:lightRig rig="threePt" dir="t"/>
          </a:scene3d>
          <a:sp3d>
            <a:bevelT w="139700" prst="cross"/>
          </a:sp3d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1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Pump operating point</a:t>
            </a:r>
          </a:p>
          <a:p>
            <a:pPr algn="ctr"/>
            <a:r>
              <a:rPr lang="en-GB" sz="11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Pump head = Flow/pipe</a:t>
            </a:r>
            <a:r>
              <a:rPr lang="en-GB" sz="1100" b="1" i="0" u="none" strike="noStrike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head</a:t>
            </a:r>
            <a:endParaRPr lang="en-GB" sz="1100" b="1">
              <a:solidFill>
                <a:schemeClr val="bg1"/>
              </a:solidFill>
            </a:endParaRPr>
          </a:p>
        </xdr:txBody>
      </xdr: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2489B1D1-B63D-4B3B-A007-0AA7C0F6FDC0}"/>
              </a:ext>
            </a:extLst>
          </xdr:cNvPr>
          <xdr:cNvCxnSpPr>
            <a:stCxn id="11" idx="2"/>
          </xdr:cNvCxnSpPr>
        </xdr:nvCxnSpPr>
        <xdr:spPr>
          <a:xfrm flipH="1">
            <a:off x="4689889" y="2985328"/>
            <a:ext cx="753441" cy="76062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37</xdr:row>
      <xdr:rowOff>0</xdr:rowOff>
    </xdr:from>
    <xdr:to>
      <xdr:col>14</xdr:col>
      <xdr:colOff>451648</xdr:colOff>
      <xdr:row>60</xdr:row>
      <xdr:rowOff>90350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13178158-60A1-4F28-A928-A3E2C724A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7029450"/>
          <a:ext cx="8376448" cy="436231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28</xdr:col>
      <xdr:colOff>442377</xdr:colOff>
      <xdr:row>60</xdr:row>
      <xdr:rowOff>90350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6EDBD76-ABA9-4BEF-8BDE-C38CD54E9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00" y="7029450"/>
          <a:ext cx="8367177" cy="4362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29896</xdr:colOff>
      <xdr:row>0</xdr:row>
      <xdr:rowOff>0</xdr:rowOff>
    </xdr:from>
    <xdr:to>
      <xdr:col>23</xdr:col>
      <xdr:colOff>386605</xdr:colOff>
      <xdr:row>32</xdr:row>
      <xdr:rowOff>106291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5C52C566-012C-4393-80FD-39A2424872B3}"/>
            </a:ext>
          </a:extLst>
        </xdr:cNvPr>
        <xdr:cNvGrpSpPr/>
      </xdr:nvGrpSpPr>
      <xdr:grpSpPr>
        <a:xfrm>
          <a:off x="10456597" y="0"/>
          <a:ext cx="12250259" cy="6732517"/>
          <a:chOff x="6578678" y="171450"/>
          <a:chExt cx="12333362" cy="6025595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3F4C4118-B0C9-48A1-A1DC-BFF9243F4EFE}"/>
              </a:ext>
            </a:extLst>
          </xdr:cNvPr>
          <xdr:cNvGraphicFramePr>
            <a:graphicFrameLocks/>
          </xdr:cNvGraphicFramePr>
        </xdr:nvGraphicFramePr>
        <xdr:xfrm>
          <a:off x="6578678" y="171450"/>
          <a:ext cx="6461261" cy="29683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D357FB03-7E4C-4A08-99C1-B0A4737FEFB5}"/>
              </a:ext>
            </a:extLst>
          </xdr:cNvPr>
          <xdr:cNvGraphicFramePr>
            <a:graphicFrameLocks/>
          </xdr:cNvGraphicFramePr>
        </xdr:nvGraphicFramePr>
        <xdr:xfrm>
          <a:off x="6578678" y="3344653"/>
          <a:ext cx="6461261" cy="28523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2AC2A7D0-B00D-4A12-977A-2367A1C202F0}"/>
              </a:ext>
            </a:extLst>
          </xdr:cNvPr>
          <xdr:cNvGraphicFramePr>
            <a:graphicFrameLocks/>
          </xdr:cNvGraphicFramePr>
        </xdr:nvGraphicFramePr>
        <xdr:xfrm>
          <a:off x="13113388" y="171450"/>
          <a:ext cx="5798652" cy="29683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Diagramm 7">
            <a:extLst>
              <a:ext uri="{FF2B5EF4-FFF2-40B4-BE49-F238E27FC236}">
                <a16:creationId xmlns:a16="http://schemas.microsoft.com/office/drawing/2014/main" id="{C7BFBA85-49E5-4F16-AA8F-4DE73D80EC66}"/>
              </a:ext>
            </a:extLst>
          </xdr:cNvPr>
          <xdr:cNvGraphicFramePr>
            <a:graphicFrameLocks/>
          </xdr:cNvGraphicFramePr>
        </xdr:nvGraphicFramePr>
        <xdr:xfrm>
          <a:off x="13113388" y="3344653"/>
          <a:ext cx="5798652" cy="28523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oneCellAnchor>
    <xdr:from>
      <xdr:col>7</xdr:col>
      <xdr:colOff>89298</xdr:colOff>
      <xdr:row>32</xdr:row>
      <xdr:rowOff>142319</xdr:rowOff>
    </xdr:from>
    <xdr:ext cx="6067439" cy="2436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E28F052-73C5-49AD-B99E-E4EC7EDD8147}"/>
                </a:ext>
              </a:extLst>
            </xdr:cNvPr>
            <xdr:cNvSpPr txBox="1"/>
          </xdr:nvSpPr>
          <xdr:spPr>
            <a:xfrm>
              <a:off x="9702646" y="6387406"/>
              <a:ext cx="6067439" cy="2436334"/>
            </a:xfrm>
            <a:prstGeom prst="rect">
              <a:avLst/>
            </a:prstGeom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n-GB" sz="1800" b="1" i="1">
                  <a:solidFill>
                    <a:schemeClr val="bg1"/>
                  </a:solidFill>
                  <a:latin typeface="+mn-lt"/>
                </a:rPr>
                <a:t>Parabola</a:t>
              </a:r>
              <a:r>
                <a:rPr lang="en-GB" sz="1800" b="1" i="1" baseline="0">
                  <a:solidFill>
                    <a:schemeClr val="bg1"/>
                  </a:solidFill>
                  <a:latin typeface="+mn-lt"/>
                </a:rPr>
                <a:t> parameter calculation</a:t>
              </a:r>
            </a:p>
            <a:p>
              <a:pPr algn="ctr"/>
              <a:endParaRPr lang="en-GB" sz="1800" b="1" i="1">
                <a:solidFill>
                  <a:schemeClr val="bg1"/>
                </a:solidFill>
                <a:latin typeface="+mn-lt"/>
              </a:endParaRPr>
            </a:p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𝒂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𝒉𝒆𝒂𝒅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𝑸</m:t>
                        </m:r>
                      </m:sub>
                    </m:sSub>
                    <m:r>
                      <a:rPr lang="en-GB" sz="1400" b="1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𝒉</m:t>
                            </m:r>
                          </m:e>
                          <m: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𝒎𝒊𝒏</m:t>
                            </m:r>
                          </m:sub>
                        </m:sSub>
                        <m: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𝒉</m:t>
                            </m:r>
                          </m:e>
                          <m: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𝒎𝒂𝒙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𝒎𝒂𝒙</m:t>
                                </m:r>
                              </m:sub>
                            </m:s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𝒎𝒊𝒏</m:t>
                                </m:r>
                              </m:sub>
                            </m:sSub>
                          </m:e>
                        </m:d>
                        <m: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d>
                          <m:d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𝒎𝒂𝒙</m:t>
                                </m:r>
                              </m:sub>
                            </m:s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𝒘𝒑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a:rPr lang="en-GB" sz="1400" b="1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𝒉</m:t>
                            </m:r>
                          </m:e>
                          <m: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𝒘𝒑</m:t>
                            </m:r>
                          </m:sub>
                        </m:sSub>
                        <m:r>
                          <a:rPr lang="en-GB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𝒉</m:t>
                            </m:r>
                          </m:e>
                          <m: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𝒎𝒂𝒙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𝒎𝒂𝒙</m:t>
                                </m:r>
                              </m:sub>
                            </m:s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𝒎𝒊𝒏</m:t>
                                </m:r>
                              </m:sub>
                            </m:sSub>
                          </m:e>
                        </m:d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d>
                          <m:d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𝒎𝒂𝒙</m:t>
                                </m:r>
                              </m:sub>
                            </m:s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𝒘𝒑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en-GB" sz="1400" b="1">
                <a:solidFill>
                  <a:schemeClr val="bg1"/>
                </a:solidFill>
              </a:endParaRPr>
            </a:p>
            <a:p>
              <a:pPr algn="ctr"/>
              <a:endParaRPr lang="en-GB" sz="1400" b="1">
                <a:solidFill>
                  <a:schemeClr val="bg1"/>
                </a:solidFill>
              </a:endParaRPr>
            </a:p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𝒃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𝒉𝒆𝒂𝒅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𝑸</m:t>
                        </m:r>
                      </m:sub>
                    </m:sSub>
                    <m:r>
                      <a:rPr lang="en-GB" sz="14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𝒉</m:t>
                            </m:r>
                          </m:e>
                          <m: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𝒘𝒑</m:t>
                            </m:r>
                          </m:sub>
                        </m:s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𝒉</m:t>
                            </m:r>
                          </m:e>
                          <m: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𝒎𝒂𝒙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𝒘𝒑</m:t>
                                </m:r>
                              </m:sub>
                            </m:s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𝑸</m:t>
                                </m:r>
                              </m:e>
                              <m:sub>
                                <m:r>
                                  <a:rPr lang="en-GB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𝒎𝒊𝒏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a:rPr lang="en-GB" sz="14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𝑸</m:t>
                            </m:r>
                          </m:e>
                          <m: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𝒘𝒑</m:t>
                            </m:r>
                          </m:sub>
                        </m:s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𝑸</m:t>
                            </m:r>
                          </m:e>
                          <m:sub>
                            <m:r>
                              <a:rPr lang="en-GB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𝒎𝒊𝒏</m:t>
                            </m:r>
                          </m:sub>
                        </m:sSub>
                      </m:e>
                    </m:d>
                    <m:r>
                      <a:rPr lang="en-GB" sz="14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𝒂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𝒉𝒆𝒂𝒅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𝑸</m:t>
                        </m:r>
                      </m:sub>
                    </m:sSub>
                  </m:oMath>
                </m:oMathPara>
              </a14:m>
              <a:endParaRPr lang="en-GB" sz="1400" b="1">
                <a:solidFill>
                  <a:schemeClr val="bg1"/>
                </a:solidFill>
              </a:endParaRPr>
            </a:p>
            <a:p>
              <a:pPr algn="ctr"/>
              <a:endParaRPr lang="en-GB" sz="1400" b="1" i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𝒄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𝒉𝒆𝒂𝒅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𝑸</m:t>
                        </m:r>
                      </m:sub>
                    </m:sSub>
                    <m:r>
                      <a:rPr lang="en-GB" sz="14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𝒉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𝒎𝒂𝒙</m:t>
                        </m:r>
                      </m:sub>
                    </m:sSub>
                    <m:r>
                      <a:rPr lang="en-GB" sz="14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𝑸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𝒎𝒊𝒏</m:t>
                        </m:r>
                      </m:sub>
                      <m:sup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bSup>
                    <m:r>
                      <a:rPr lang="en-GB" sz="14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𝒂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𝒉𝒆𝒂𝒅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𝑸</m:t>
                        </m:r>
                      </m:sub>
                    </m:sSub>
                    <m:r>
                      <a:rPr lang="en-GB" sz="14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𝑸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𝒎𝒊𝒏</m:t>
                        </m:r>
                      </m:sub>
                    </m:sSub>
                    <m:r>
                      <a:rPr lang="en-GB" sz="14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𝒃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𝒉𝒆𝒂𝒅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GB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𝑸</m:t>
                        </m:r>
                      </m:sub>
                    </m:sSub>
                  </m:oMath>
                </m:oMathPara>
              </a14:m>
              <a:endParaRPr lang="en-GB" sz="14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E28F052-73C5-49AD-B99E-E4EC7EDD8147}"/>
                </a:ext>
              </a:extLst>
            </xdr:cNvPr>
            <xdr:cNvSpPr txBox="1"/>
          </xdr:nvSpPr>
          <xdr:spPr>
            <a:xfrm>
              <a:off x="9702646" y="6387406"/>
              <a:ext cx="6067439" cy="2436334"/>
            </a:xfrm>
            <a:prstGeom prst="rect">
              <a:avLst/>
            </a:prstGeom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n-GB" sz="1800" b="1" i="1">
                  <a:solidFill>
                    <a:schemeClr val="bg1"/>
                  </a:solidFill>
                  <a:latin typeface="+mn-lt"/>
                </a:rPr>
                <a:t>Parabola</a:t>
              </a:r>
              <a:r>
                <a:rPr lang="en-GB" sz="1800" b="1" i="1" baseline="0">
                  <a:solidFill>
                    <a:schemeClr val="bg1"/>
                  </a:solidFill>
                  <a:latin typeface="+mn-lt"/>
                </a:rPr>
                <a:t> parameter calculation</a:t>
              </a:r>
            </a:p>
            <a:p>
              <a:pPr algn="ctr"/>
              <a:endParaRPr lang="en-GB" sz="1800" b="1" i="1">
                <a:solidFill>
                  <a:schemeClr val="bg1"/>
                </a:solidFill>
                <a:latin typeface="+mn-lt"/>
              </a:endParaRPr>
            </a:p>
            <a:p>
              <a:pPr algn="ctr"/>
              <a:r>
                <a:rPr lang="en-GB" sz="14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𝒂_(𝒉𝒆𝒂𝒅,𝑸)=(𝒉_𝒎𝒊𝒏−𝒉_𝒎𝒂𝒙)/((𝑸_𝒎𝒂𝒙−𝑸_𝒎𝒊𝒏 )</a:t>
              </a:r>
              <a:r>
                <a:rPr lang="en-GB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×(𝑸_𝒎𝒂𝒙−𝑸_𝒘𝒑 ) )</a:t>
              </a:r>
              <a:r>
                <a:rPr lang="en-GB" sz="14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−(𝒉_𝒘𝒑−𝒉_𝒎𝒂𝒙)/(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(𝑸_𝒎𝒂𝒙−𝑸_𝒎𝒊𝒏 )×(𝑸_𝒎𝒂𝒙−𝑸_𝒘𝒑 )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en-GB" sz="1400" b="1">
                <a:solidFill>
                  <a:schemeClr val="bg1"/>
                </a:solidFill>
              </a:endParaRPr>
            </a:p>
            <a:p>
              <a:pPr algn="ctr"/>
              <a:endParaRPr lang="en-GB" sz="1400" b="1">
                <a:solidFill>
                  <a:schemeClr val="bg1"/>
                </a:solidFill>
              </a:endParaRPr>
            </a:p>
            <a:p>
              <a:pPr algn="ctr"/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𝒃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_(𝒉𝒆𝒂𝒅,𝑸)=(𝒉_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𝒘𝒑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−𝒉_𝒎𝒂𝒙)/((𝑸_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𝒘𝒑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−𝑸_𝒎𝒊𝒏 ) )−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(𝑸_𝒘𝒑−𝑸_𝒎𝒊𝒏 )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×𝒂_(𝒉𝒆𝒂𝒅,𝑸)</a:t>
              </a:r>
              <a:endParaRPr lang="en-GB" sz="1400" b="1">
                <a:solidFill>
                  <a:schemeClr val="bg1"/>
                </a:solidFill>
              </a:endParaRPr>
            </a:p>
            <a:p>
              <a:pPr algn="ctr"/>
              <a:endParaRPr lang="en-GB" sz="1400" b="1" i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𝒄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_(𝒉𝒆𝒂𝒅,𝑸)=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𝒉_𝒎𝒂𝒙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𝑸_𝒎𝒊𝒏^𝟐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×𝒂_(𝒉𝒆𝒂𝒅,𝑸)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−𝑸_𝒎𝒊𝒏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GB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𝒃_(𝒉𝒆𝒂𝒅,𝑸)</a:t>
              </a:r>
              <a:endParaRPr lang="en-GB" sz="14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15</xdr:col>
      <xdr:colOff>559350</xdr:colOff>
      <xdr:row>14</xdr:row>
      <xdr:rowOff>94550</xdr:rowOff>
    </xdr:to>
    <xdr:graphicFrame macro="">
      <xdr:nvGraphicFramePr>
        <xdr:cNvPr id="8" name="Diagramm 3">
          <a:extLst>
            <a:ext uri="{FF2B5EF4-FFF2-40B4-BE49-F238E27FC236}">
              <a16:creationId xmlns:a16="http://schemas.microsoft.com/office/drawing/2014/main" id="{F11A08F6-B940-493A-AD3D-6BFC2882D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502200</xdr:colOff>
      <xdr:row>14</xdr:row>
      <xdr:rowOff>89304</xdr:rowOff>
    </xdr:to>
    <xdr:graphicFrame macro="">
      <xdr:nvGraphicFramePr>
        <xdr:cNvPr id="9" name="Diagramm 14">
          <a:extLst>
            <a:ext uri="{FF2B5EF4-FFF2-40B4-BE49-F238E27FC236}">
              <a16:creationId xmlns:a16="http://schemas.microsoft.com/office/drawing/2014/main" id="{D51FB69F-AB70-47DB-AAF9-4D7712C6C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742949</xdr:colOff>
      <xdr:row>15</xdr:row>
      <xdr:rowOff>0</xdr:rowOff>
    </xdr:from>
    <xdr:to>
      <xdr:col>23</xdr:col>
      <xdr:colOff>502199</xdr:colOff>
      <xdr:row>29</xdr:row>
      <xdr:rowOff>151700</xdr:rowOff>
    </xdr:to>
    <xdr:graphicFrame macro="">
      <xdr:nvGraphicFramePr>
        <xdr:cNvPr id="12" name="Diagramm 6">
          <a:extLst>
            <a:ext uri="{FF2B5EF4-FFF2-40B4-BE49-F238E27FC236}">
              <a16:creationId xmlns:a16="http://schemas.microsoft.com/office/drawing/2014/main" id="{15D61F1B-7324-496F-938D-D785121AE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15</xdr:col>
      <xdr:colOff>559350</xdr:colOff>
      <xdr:row>29</xdr:row>
      <xdr:rowOff>148281</xdr:rowOff>
    </xdr:to>
    <xdr:graphicFrame macro="">
      <xdr:nvGraphicFramePr>
        <xdr:cNvPr id="6" name="Diagramm 3">
          <a:extLst>
            <a:ext uri="{FF2B5EF4-FFF2-40B4-BE49-F238E27FC236}">
              <a16:creationId xmlns:a16="http://schemas.microsoft.com/office/drawing/2014/main" id="{114CC5CC-FBC8-4E71-B46E-E614FF39C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6145-53F8-46B8-AA63-6B2E2EFED296}">
  <dimension ref="B2:AC37"/>
  <sheetViews>
    <sheetView showGridLines="0" showRowColHeaders="0" tabSelected="1" zoomScaleNormal="100" workbookViewId="0">
      <selection activeCell="B2" sqref="B2:O2"/>
    </sheetView>
  </sheetViews>
  <sheetFormatPr defaultRowHeight="14.5"/>
  <sheetData>
    <row r="2" spans="2:29" ht="20" thickBot="1">
      <c r="B2" s="98" t="s">
        <v>364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29" ht="18" thickTop="1" thickBot="1">
      <c r="B3" s="97" t="s">
        <v>160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2:29" ht="15" thickTop="1">
      <c r="C4" t="s">
        <v>161</v>
      </c>
    </row>
    <row r="5" spans="2:29">
      <c r="C5" t="s">
        <v>163</v>
      </c>
    </row>
    <row r="32" spans="2:29" ht="17.5" thickBot="1">
      <c r="B32" s="97" t="s">
        <v>355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  <row r="33" spans="3:17" ht="15" thickTop="1">
      <c r="C33" t="s">
        <v>162</v>
      </c>
      <c r="Q33" t="s">
        <v>360</v>
      </c>
    </row>
    <row r="34" spans="3:17">
      <c r="C34" s="95" t="s">
        <v>392</v>
      </c>
      <c r="D34" t="s">
        <v>356</v>
      </c>
      <c r="Q34" t="s">
        <v>361</v>
      </c>
    </row>
    <row r="35" spans="3:17">
      <c r="C35" s="95" t="s">
        <v>391</v>
      </c>
      <c r="D35" t="s">
        <v>357</v>
      </c>
    </row>
    <row r="36" spans="3:17">
      <c r="C36" t="s">
        <v>358</v>
      </c>
    </row>
    <row r="37" spans="3:17">
      <c r="C37" t="s">
        <v>359</v>
      </c>
    </row>
  </sheetData>
  <mergeCells count="3">
    <mergeCell ref="B32:AC32"/>
    <mergeCell ref="B3:AC3"/>
    <mergeCell ref="B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93A7-14FA-4B62-8D75-A3357C916A91}">
  <dimension ref="A1:AG76"/>
  <sheetViews>
    <sheetView showGridLines="0" zoomScaleNormal="100" workbookViewId="0"/>
  </sheetViews>
  <sheetFormatPr defaultColWidth="10.54296875" defaultRowHeight="14.5"/>
  <cols>
    <col min="1" max="1" width="63.6328125" bestFit="1" customWidth="1"/>
    <col min="2" max="2" width="12.54296875" style="38" customWidth="1"/>
    <col min="3" max="5" width="12.54296875" customWidth="1"/>
    <col min="6" max="6" width="12.81640625" bestFit="1" customWidth="1"/>
    <col min="7" max="7" width="22.6328125" customWidth="1"/>
    <col min="14" max="22" width="10.7265625" bestFit="1" customWidth="1"/>
    <col min="26" max="26" width="19.54296875" bestFit="1" customWidth="1"/>
    <col min="27" max="27" width="12.6328125" bestFit="1" customWidth="1"/>
    <col min="28" max="28" width="9.36328125" bestFit="1" customWidth="1"/>
    <col min="29" max="29" width="10.26953125" bestFit="1" customWidth="1"/>
    <col min="30" max="30" width="20.36328125" bestFit="1" customWidth="1"/>
    <col min="31" max="31" width="8.6328125" bestFit="1" customWidth="1"/>
    <col min="32" max="32" width="18.7265625" bestFit="1" customWidth="1"/>
    <col min="33" max="33" width="13.54296875" bestFit="1" customWidth="1"/>
  </cols>
  <sheetData>
    <row r="1" spans="1:33" ht="20" thickBot="1">
      <c r="A1" s="20" t="s">
        <v>165</v>
      </c>
      <c r="B1" s="36"/>
      <c r="C1" s="21" t="s">
        <v>172</v>
      </c>
      <c r="D1" s="21" t="s">
        <v>173</v>
      </c>
      <c r="E1" s="21" t="s">
        <v>174</v>
      </c>
      <c r="F1" s="20"/>
      <c r="G1" s="20"/>
      <c r="Y1" t="s">
        <v>159</v>
      </c>
      <c r="Z1" t="s">
        <v>427</v>
      </c>
      <c r="AA1" t="s">
        <v>190</v>
      </c>
      <c r="AB1" t="s">
        <v>189</v>
      </c>
      <c r="AC1" t="s">
        <v>188</v>
      </c>
      <c r="AD1" t="s">
        <v>193</v>
      </c>
      <c r="AE1" t="s">
        <v>176</v>
      </c>
      <c r="AF1" t="s">
        <v>192</v>
      </c>
      <c r="AG1" t="s">
        <v>191</v>
      </c>
    </row>
    <row r="2" spans="1:33" ht="15.5" thickTop="1" thickBot="1">
      <c r="A2" s="22" t="s">
        <v>157</v>
      </c>
      <c r="B2" s="37" t="s">
        <v>156</v>
      </c>
      <c r="C2" s="23" t="s">
        <v>166</v>
      </c>
      <c r="D2" s="23" t="s">
        <v>166</v>
      </c>
      <c r="E2" s="23" t="s">
        <v>166</v>
      </c>
      <c r="F2" s="22" t="s">
        <v>158</v>
      </c>
      <c r="G2" s="22" t="s">
        <v>167</v>
      </c>
      <c r="Y2">
        <v>0</v>
      </c>
      <c r="Z2" s="5">
        <f>$C$4</f>
        <v>6</v>
      </c>
      <c r="AA2" s="5">
        <f t="shared" ref="AA2:AA16" si="0">$C$5*(Y2/($C$3/(24*3.6)*($C$7-$C$8)))^2</f>
        <v>0</v>
      </c>
      <c r="AB2" s="5">
        <f>Z2+AA2</f>
        <v>6</v>
      </c>
      <c r="AC2" s="5">
        <f t="shared" ref="AC2:AC17" si="1">Y2^2*$C$46+Y2*$C$47+$C$48</f>
        <v>10.37</v>
      </c>
      <c r="AD2" s="5">
        <f t="shared" ref="AD2:AD17" si="2">Y2^2*$C$46+Y2*$C$47+$C$48-$C$25*$C$50*$C$12</f>
        <v>4.4159933333333345</v>
      </c>
      <c r="AE2" s="19">
        <f t="shared" ref="AE2:AE17" si="3">Y2^2*$C$54+Y2*$C$55+$C$56</f>
        <v>0</v>
      </c>
      <c r="AF2" s="19">
        <f t="shared" ref="AF2:AF17" si="4">Y2^2*$C$74+Y2*$C$75+$C$76</f>
        <v>0</v>
      </c>
      <c r="AG2" s="5" t="s">
        <v>154</v>
      </c>
    </row>
    <row r="3" spans="1:33" ht="16.5">
      <c r="A3" s="58" t="s">
        <v>378</v>
      </c>
      <c r="B3" s="72" t="s">
        <v>294</v>
      </c>
      <c r="C3" s="31">
        <v>24000</v>
      </c>
      <c r="D3" s="31">
        <v>48000</v>
      </c>
      <c r="E3" s="31">
        <v>96000</v>
      </c>
      <c r="F3" t="s">
        <v>390</v>
      </c>
      <c r="Y3" s="3">
        <f t="shared" ref="Y3:Y16" si="5">$Y$17/15+Y2</f>
        <v>31.481481481481477</v>
      </c>
      <c r="Z3" s="5">
        <f t="shared" ref="Z3:Z17" si="6">$C$4</f>
        <v>6</v>
      </c>
      <c r="AA3" s="5">
        <f t="shared" si="0"/>
        <v>1.2844444444444444E-3</v>
      </c>
      <c r="AB3" s="5">
        <f t="shared" ref="AB3:AB17" si="7">Z3+AA3</f>
        <v>6.0012844444444449</v>
      </c>
      <c r="AC3" s="5">
        <f t="shared" si="1"/>
        <v>10.148773333333333</v>
      </c>
      <c r="AD3" s="5">
        <f t="shared" si="2"/>
        <v>4.1947666666666681</v>
      </c>
      <c r="AE3" s="19">
        <f t="shared" si="3"/>
        <v>0.1617777777777778</v>
      </c>
      <c r="AF3" s="19">
        <f t="shared" si="4"/>
        <v>0.21807729192007663</v>
      </c>
      <c r="AG3" s="5">
        <f t="shared" ref="AG3:AG16" si="8">Y3*AC3*dw*g/10^6/AE3</f>
        <v>19.373980412087906</v>
      </c>
    </row>
    <row r="4" spans="1:33" ht="16.5">
      <c r="A4" s="58" t="s">
        <v>427</v>
      </c>
      <c r="B4" s="38" t="s">
        <v>428</v>
      </c>
      <c r="C4" s="31">
        <v>6</v>
      </c>
      <c r="D4" s="31">
        <v>8</v>
      </c>
      <c r="E4" s="31">
        <v>10</v>
      </c>
      <c r="F4" t="s">
        <v>0</v>
      </c>
      <c r="Y4" s="3">
        <f t="shared" si="5"/>
        <v>62.962962962962955</v>
      </c>
      <c r="Z4" s="5">
        <f t="shared" si="6"/>
        <v>6</v>
      </c>
      <c r="AA4" s="5">
        <f t="shared" si="0"/>
        <v>5.1377777777777776E-3</v>
      </c>
      <c r="AB4" s="5">
        <f t="shared" si="7"/>
        <v>6.0051377777777777</v>
      </c>
      <c r="AC4" s="5">
        <f t="shared" si="1"/>
        <v>9.8603885714285706</v>
      </c>
      <c r="AD4" s="5">
        <f t="shared" si="2"/>
        <v>3.9063819047619059</v>
      </c>
      <c r="AE4" s="19">
        <f t="shared" si="3"/>
        <v>0.30044444444444446</v>
      </c>
      <c r="AF4" s="19">
        <f t="shared" si="4"/>
        <v>0.38169764601396183</v>
      </c>
      <c r="AG4" s="5">
        <f t="shared" si="8"/>
        <v>20.271412747252747</v>
      </c>
    </row>
    <row r="5" spans="1:33">
      <c r="A5" s="38" t="s">
        <v>168</v>
      </c>
      <c r="B5" s="114" t="s">
        <v>429</v>
      </c>
      <c r="C5" s="31">
        <v>0.1</v>
      </c>
      <c r="D5" s="31">
        <v>0.1</v>
      </c>
      <c r="E5" s="31">
        <v>0.1</v>
      </c>
      <c r="F5" t="s">
        <v>0</v>
      </c>
      <c r="Y5" s="3">
        <f t="shared" si="5"/>
        <v>94.444444444444429</v>
      </c>
      <c r="Z5" s="5">
        <f t="shared" si="6"/>
        <v>6</v>
      </c>
      <c r="AA5" s="5">
        <f t="shared" si="0"/>
        <v>1.1559999999999999E-2</v>
      </c>
      <c r="AB5" s="5">
        <f t="shared" si="7"/>
        <v>6.0115600000000002</v>
      </c>
      <c r="AC5" s="5">
        <f t="shared" si="1"/>
        <v>9.5048457142857146</v>
      </c>
      <c r="AD5" s="5">
        <f t="shared" si="2"/>
        <v>3.5508390476190499</v>
      </c>
      <c r="AE5" s="19">
        <f t="shared" si="3"/>
        <v>0.41600000000000004</v>
      </c>
      <c r="AF5" s="19">
        <f t="shared" si="4"/>
        <v>0.49086106228165549</v>
      </c>
      <c r="AG5" s="5">
        <f t="shared" si="8"/>
        <v>21.16884508241758</v>
      </c>
    </row>
    <row r="6" spans="1:33" ht="16.5">
      <c r="A6" s="58" t="s">
        <v>375</v>
      </c>
      <c r="B6" s="38" t="s">
        <v>430</v>
      </c>
      <c r="C6" s="31">
        <f>+C4+C5</f>
        <v>6.1</v>
      </c>
      <c r="D6" s="31">
        <f t="shared" ref="D6:E6" si="9">+D4+D5</f>
        <v>8.1</v>
      </c>
      <c r="E6" s="31">
        <f t="shared" si="9"/>
        <v>10.1</v>
      </c>
      <c r="F6" t="s">
        <v>0</v>
      </c>
      <c r="Y6" s="3">
        <f t="shared" si="5"/>
        <v>125.92592592592591</v>
      </c>
      <c r="Z6" s="5">
        <f t="shared" si="6"/>
        <v>6</v>
      </c>
      <c r="AA6" s="5">
        <f t="shared" si="0"/>
        <v>2.055111111111111E-2</v>
      </c>
      <c r="AB6" s="5">
        <f t="shared" si="7"/>
        <v>6.0205511111111107</v>
      </c>
      <c r="AC6" s="5">
        <f t="shared" si="1"/>
        <v>9.0821447619047611</v>
      </c>
      <c r="AD6" s="5">
        <f t="shared" si="2"/>
        <v>3.1281380952380964</v>
      </c>
      <c r="AE6" s="19">
        <f t="shared" si="3"/>
        <v>0.50844444444444448</v>
      </c>
      <c r="AF6" s="19">
        <f t="shared" si="4"/>
        <v>0.54556754072315783</v>
      </c>
      <c r="AG6" s="5">
        <f t="shared" si="8"/>
        <v>22.066277417582409</v>
      </c>
    </row>
    <row r="7" spans="1:33" ht="16.5">
      <c r="A7" s="58" t="s">
        <v>373</v>
      </c>
      <c r="B7" s="72" t="s">
        <v>371</v>
      </c>
      <c r="C7" s="15">
        <v>2</v>
      </c>
      <c r="D7" s="15">
        <v>2</v>
      </c>
      <c r="E7" s="15">
        <v>2</v>
      </c>
      <c r="F7" t="s">
        <v>164</v>
      </c>
      <c r="Y7" s="3">
        <f t="shared" si="5"/>
        <v>157.40740740740739</v>
      </c>
      <c r="Z7" s="5">
        <f t="shared" si="6"/>
        <v>6</v>
      </c>
      <c r="AA7" s="5">
        <f t="shared" si="0"/>
        <v>3.2111111111111111E-2</v>
      </c>
      <c r="AB7" s="5">
        <f t="shared" si="7"/>
        <v>6.032111111111111</v>
      </c>
      <c r="AC7" s="5">
        <f t="shared" si="1"/>
        <v>8.5922857142857154</v>
      </c>
      <c r="AD7" s="5">
        <f t="shared" si="2"/>
        <v>2.6382790476190507</v>
      </c>
      <c r="AE7" s="19">
        <f t="shared" si="3"/>
        <v>0.57777777777777772</v>
      </c>
      <c r="AF7" s="19">
        <f t="shared" si="4"/>
        <v>0.54581708133846862</v>
      </c>
      <c r="AG7" s="5">
        <f t="shared" si="8"/>
        <v>22.963709752747256</v>
      </c>
    </row>
    <row r="8" spans="1:33" ht="16.5">
      <c r="A8" s="58" t="s">
        <v>374</v>
      </c>
      <c r="B8" s="72" t="s">
        <v>372</v>
      </c>
      <c r="C8" s="15">
        <v>1</v>
      </c>
      <c r="D8" s="15">
        <v>1</v>
      </c>
      <c r="E8" s="15">
        <v>1</v>
      </c>
      <c r="F8" t="s">
        <v>164</v>
      </c>
      <c r="Y8" s="3">
        <f t="shared" si="5"/>
        <v>188.88888888888886</v>
      </c>
      <c r="Z8" s="5">
        <f t="shared" si="6"/>
        <v>6</v>
      </c>
      <c r="AA8" s="5">
        <f t="shared" si="0"/>
        <v>4.6239999999999996E-2</v>
      </c>
      <c r="AB8" s="5">
        <f t="shared" si="7"/>
        <v>6.0462400000000001</v>
      </c>
      <c r="AC8" s="5">
        <f t="shared" si="1"/>
        <v>8.0352685714285723</v>
      </c>
      <c r="AD8" s="5">
        <f t="shared" si="2"/>
        <v>2.0812619047619076</v>
      </c>
      <c r="AE8" s="19">
        <f t="shared" si="3"/>
        <v>0.62400000000000011</v>
      </c>
      <c r="AF8" s="19">
        <f t="shared" si="4"/>
        <v>0.49160968412758776</v>
      </c>
      <c r="AG8" s="5">
        <f t="shared" si="8"/>
        <v>23.861142087912086</v>
      </c>
    </row>
    <row r="9" spans="1:33" ht="16.5">
      <c r="A9" t="s">
        <v>169</v>
      </c>
      <c r="B9" s="41" t="s">
        <v>194</v>
      </c>
      <c r="C9" s="18">
        <v>0.65</v>
      </c>
      <c r="D9" s="18">
        <v>0.65</v>
      </c>
      <c r="E9" s="18">
        <v>0.65</v>
      </c>
      <c r="F9" t="s">
        <v>154</v>
      </c>
      <c r="Y9" s="3">
        <f t="shared" si="5"/>
        <v>220.37037037037032</v>
      </c>
      <c r="Z9" s="5">
        <f t="shared" si="6"/>
        <v>6</v>
      </c>
      <c r="AA9" s="5">
        <f t="shared" si="0"/>
        <v>6.2937777777777759E-2</v>
      </c>
      <c r="AB9" s="5">
        <f t="shared" si="7"/>
        <v>6.062937777777778</v>
      </c>
      <c r="AC9" s="5">
        <f t="shared" si="1"/>
        <v>7.4110933333333344</v>
      </c>
      <c r="AD9" s="5">
        <f t="shared" si="2"/>
        <v>1.4570866666666697</v>
      </c>
      <c r="AE9" s="19">
        <f t="shared" si="3"/>
        <v>0.64711111111111108</v>
      </c>
      <c r="AF9" s="19">
        <f t="shared" si="4"/>
        <v>0.38294534909051592</v>
      </c>
      <c r="AG9" s="5">
        <f t="shared" si="8"/>
        <v>24.758574423076929</v>
      </c>
    </row>
    <row r="10" spans="1:33" ht="16.5">
      <c r="A10" t="s">
        <v>170</v>
      </c>
      <c r="B10" s="38" t="s">
        <v>197</v>
      </c>
      <c r="C10" s="18">
        <v>0.7</v>
      </c>
      <c r="D10" s="18">
        <v>0.7</v>
      </c>
      <c r="E10" s="18">
        <v>0.7</v>
      </c>
      <c r="F10" t="s">
        <v>154</v>
      </c>
      <c r="Y10" s="3">
        <f t="shared" si="5"/>
        <v>251.85185185185179</v>
      </c>
      <c r="Z10" s="5">
        <f t="shared" si="6"/>
        <v>6</v>
      </c>
      <c r="AA10" s="5">
        <f t="shared" si="0"/>
        <v>8.2204444444444413E-2</v>
      </c>
      <c r="AB10" s="5">
        <f t="shared" si="7"/>
        <v>6.0822044444444447</v>
      </c>
      <c r="AC10" s="5">
        <f t="shared" si="1"/>
        <v>6.7197600000000008</v>
      </c>
      <c r="AD10" s="5">
        <f t="shared" si="2"/>
        <v>0.76575333333333617</v>
      </c>
      <c r="AE10" s="19">
        <f t="shared" si="3"/>
        <v>0.64711111111111119</v>
      </c>
      <c r="AF10" s="19">
        <f t="shared" si="4"/>
        <v>0.21982407622725253</v>
      </c>
      <c r="AG10" s="5">
        <f t="shared" si="8"/>
        <v>25.656006758241755</v>
      </c>
    </row>
    <row r="11" spans="1:33" ht="16.5">
      <c r="A11" t="s">
        <v>171</v>
      </c>
      <c r="B11" s="38" t="s">
        <v>198</v>
      </c>
      <c r="C11" s="18">
        <v>0.7</v>
      </c>
      <c r="D11" s="18">
        <v>0.7</v>
      </c>
      <c r="E11" s="18">
        <v>0.7</v>
      </c>
      <c r="F11" t="s">
        <v>154</v>
      </c>
      <c r="Y11" s="3">
        <f t="shared" si="5"/>
        <v>283.33333333333326</v>
      </c>
      <c r="Z11" s="5">
        <f t="shared" si="6"/>
        <v>6</v>
      </c>
      <c r="AA11" s="5">
        <f t="shared" si="0"/>
        <v>0.10403999999999997</v>
      </c>
      <c r="AB11" s="5">
        <f t="shared" si="7"/>
        <v>6.1040400000000004</v>
      </c>
      <c r="AC11" s="5">
        <f t="shared" si="1"/>
        <v>5.9612685714285725</v>
      </c>
      <c r="AD11" s="5">
        <f t="shared" si="2"/>
        <v>7.2619047619078003E-3</v>
      </c>
      <c r="AE11" s="19">
        <f t="shared" si="3"/>
        <v>0.62400000000000011</v>
      </c>
      <c r="AF11" s="19">
        <f t="shared" si="4"/>
        <v>2.2458655377972647E-3</v>
      </c>
      <c r="AG11" s="5">
        <f t="shared" si="8"/>
        <v>26.553439093406592</v>
      </c>
    </row>
    <row r="12" spans="1:33" ht="16.5">
      <c r="A12" t="s">
        <v>231</v>
      </c>
      <c r="B12" s="38" t="s">
        <v>199</v>
      </c>
      <c r="C12" s="18">
        <v>0.7</v>
      </c>
      <c r="D12" s="18">
        <v>0.6</v>
      </c>
      <c r="E12" s="18">
        <v>0.6</v>
      </c>
      <c r="F12" t="s">
        <v>154</v>
      </c>
      <c r="Y12" s="3">
        <f t="shared" si="5"/>
        <v>314.81481481481472</v>
      </c>
      <c r="Z12" s="5">
        <f t="shared" si="6"/>
        <v>6</v>
      </c>
      <c r="AA12" s="5">
        <f t="shared" si="0"/>
        <v>0.12844444444444439</v>
      </c>
      <c r="AB12" s="5">
        <f t="shared" si="7"/>
        <v>6.1284444444444448</v>
      </c>
      <c r="AC12" s="5">
        <f t="shared" si="1"/>
        <v>5.1356190476190493</v>
      </c>
      <c r="AD12" s="5">
        <f t="shared" si="2"/>
        <v>-0.81838761904761537</v>
      </c>
      <c r="AE12" s="19">
        <f t="shared" si="3"/>
        <v>0.57777777777777795</v>
      </c>
      <c r="AF12" s="19">
        <f t="shared" si="4"/>
        <v>-0.26978928297784854</v>
      </c>
      <c r="AG12" s="5">
        <f t="shared" si="8"/>
        <v>27.450871428571425</v>
      </c>
    </row>
    <row r="13" spans="1:33" ht="16.5">
      <c r="A13" t="s">
        <v>232</v>
      </c>
      <c r="B13" s="41" t="s">
        <v>200</v>
      </c>
      <c r="C13" s="18">
        <v>0.15</v>
      </c>
      <c r="D13" s="18">
        <v>0.15</v>
      </c>
      <c r="E13" s="18">
        <v>0.15</v>
      </c>
      <c r="F13" t="s">
        <v>154</v>
      </c>
      <c r="Y13" s="3">
        <f t="shared" si="5"/>
        <v>346.29629629629619</v>
      </c>
      <c r="Z13" s="5">
        <f t="shared" si="6"/>
        <v>6</v>
      </c>
      <c r="AA13" s="5">
        <f t="shared" si="0"/>
        <v>0.15541777777777771</v>
      </c>
      <c r="AB13" s="5">
        <f t="shared" si="7"/>
        <v>6.1554177777777781</v>
      </c>
      <c r="AC13" s="5">
        <f t="shared" si="1"/>
        <v>4.2428114285714305</v>
      </c>
      <c r="AD13" s="5">
        <f t="shared" si="2"/>
        <v>-1.7111952380952342</v>
      </c>
      <c r="AE13" s="19">
        <f t="shared" si="3"/>
        <v>0.50844444444444448</v>
      </c>
      <c r="AF13" s="19">
        <f t="shared" si="4"/>
        <v>-0.59628136931968667</v>
      </c>
      <c r="AG13" s="5">
        <f t="shared" si="8"/>
        <v>28.348303763736268</v>
      </c>
    </row>
    <row r="14" spans="1:33" ht="16.5">
      <c r="A14" t="s">
        <v>233</v>
      </c>
      <c r="B14" s="38" t="s">
        <v>201</v>
      </c>
      <c r="C14" s="18">
        <v>0.8</v>
      </c>
      <c r="D14" s="18">
        <v>0.8</v>
      </c>
      <c r="E14" s="18">
        <v>0.8</v>
      </c>
      <c r="F14" t="s">
        <v>154</v>
      </c>
      <c r="Y14" s="3">
        <f t="shared" si="5"/>
        <v>377.77777777777766</v>
      </c>
      <c r="Z14" s="5">
        <f t="shared" si="6"/>
        <v>6</v>
      </c>
      <c r="AA14" s="5">
        <f t="shared" si="0"/>
        <v>0.1849599999999999</v>
      </c>
      <c r="AB14" s="5">
        <f t="shared" si="7"/>
        <v>6.1849600000000002</v>
      </c>
      <c r="AC14" s="5">
        <f t="shared" si="1"/>
        <v>3.2828457142857168</v>
      </c>
      <c r="AD14" s="5">
        <f t="shared" si="2"/>
        <v>-2.6711609523809479</v>
      </c>
      <c r="AE14" s="19">
        <f t="shared" si="3"/>
        <v>0.41600000000000037</v>
      </c>
      <c r="AF14" s="19">
        <f t="shared" si="4"/>
        <v>-0.97723039348771579</v>
      </c>
      <c r="AG14" s="5">
        <f t="shared" si="8"/>
        <v>29.245736098901087</v>
      </c>
    </row>
    <row r="15" spans="1:33">
      <c r="H15" s="46"/>
      <c r="I15" s="46"/>
      <c r="Y15" s="3">
        <f t="shared" si="5"/>
        <v>409.25925925925912</v>
      </c>
      <c r="Z15" s="5">
        <f t="shared" si="6"/>
        <v>6</v>
      </c>
      <c r="AA15" s="5">
        <f t="shared" si="0"/>
        <v>0.21707111111111099</v>
      </c>
      <c r="AB15" s="5">
        <f t="shared" si="7"/>
        <v>6.2170711111111112</v>
      </c>
      <c r="AC15" s="5">
        <f t="shared" si="1"/>
        <v>2.2557219047619075</v>
      </c>
      <c r="AD15" s="5">
        <f t="shared" si="2"/>
        <v>-3.6982847619047572</v>
      </c>
      <c r="AE15" s="19">
        <f t="shared" si="3"/>
        <v>0.30044444444444474</v>
      </c>
      <c r="AF15" s="19">
        <f t="shared" si="4"/>
        <v>-1.4126363554819368</v>
      </c>
      <c r="AG15" s="5">
        <f t="shared" si="8"/>
        <v>30.143168434065927</v>
      </c>
    </row>
    <row r="16" spans="1:33" ht="20" thickBot="1">
      <c r="A16" s="20" t="s">
        <v>175</v>
      </c>
      <c r="B16" s="36"/>
      <c r="C16" s="20"/>
      <c r="D16" s="20"/>
      <c r="E16" s="20"/>
      <c r="F16" s="20"/>
      <c r="G16" s="20"/>
      <c r="Y16" s="3">
        <f t="shared" si="5"/>
        <v>440.74074074074059</v>
      </c>
      <c r="Z16" s="5">
        <f t="shared" si="6"/>
        <v>6</v>
      </c>
      <c r="AA16" s="5">
        <f t="shared" si="0"/>
        <v>0.25175111111111098</v>
      </c>
      <c r="AB16" s="5">
        <f t="shared" si="7"/>
        <v>6.251751111111111</v>
      </c>
      <c r="AC16" s="5">
        <f t="shared" si="1"/>
        <v>1.1614400000000025</v>
      </c>
      <c r="AD16" s="5">
        <f t="shared" si="2"/>
        <v>-4.7925666666666622</v>
      </c>
      <c r="AE16" s="19">
        <f t="shared" si="3"/>
        <v>0.16177777777777846</v>
      </c>
      <c r="AF16" s="19">
        <f t="shared" si="4"/>
        <v>-1.9024992553023488</v>
      </c>
      <c r="AG16" s="5">
        <f t="shared" si="8"/>
        <v>31.040600769230693</v>
      </c>
    </row>
    <row r="17" spans="1:33" ht="15" thickTop="1">
      <c r="A17" s="24"/>
      <c r="B17" s="39"/>
      <c r="C17" s="24"/>
      <c r="D17" s="24"/>
      <c r="E17" s="24"/>
      <c r="F17" s="24"/>
      <c r="G17" s="24"/>
      <c r="Y17" s="3">
        <f>C24</f>
        <v>472.22222222222217</v>
      </c>
      <c r="Z17" s="5">
        <f t="shared" si="6"/>
        <v>6</v>
      </c>
      <c r="AA17" s="5">
        <f>$C$5*(Y17/($C$3/(24*3.6)*($C$7-$C$8)))^2</f>
        <v>0.28899999999999998</v>
      </c>
      <c r="AB17" s="5">
        <f t="shared" si="7"/>
        <v>6.2889999999999997</v>
      </c>
      <c r="AC17" s="5">
        <f t="shared" si="1"/>
        <v>0</v>
      </c>
      <c r="AD17" s="5">
        <f t="shared" si="2"/>
        <v>-5.9540066666666664</v>
      </c>
      <c r="AE17" s="19">
        <f t="shared" si="3"/>
        <v>0</v>
      </c>
      <c r="AF17" s="19">
        <f t="shared" si="4"/>
        <v>-2.4468190929489539</v>
      </c>
      <c r="AG17" s="5" t="s">
        <v>154</v>
      </c>
    </row>
    <row r="18" spans="1:33" ht="17.5" thickBot="1">
      <c r="A18" s="25" t="s">
        <v>180</v>
      </c>
      <c r="B18" s="40"/>
      <c r="C18" s="26" t="s">
        <v>172</v>
      </c>
      <c r="D18" s="26" t="s">
        <v>173</v>
      </c>
      <c r="E18" s="26" t="s">
        <v>174</v>
      </c>
      <c r="F18" s="25"/>
      <c r="G18" s="25"/>
    </row>
    <row r="19" spans="1:33" ht="15.5" thickTop="1" thickBot="1">
      <c r="A19" s="22" t="s">
        <v>157</v>
      </c>
      <c r="B19" s="37" t="s">
        <v>156</v>
      </c>
      <c r="C19" s="23" t="s">
        <v>166</v>
      </c>
      <c r="D19" s="23" t="s">
        <v>166</v>
      </c>
      <c r="E19" s="23" t="s">
        <v>166</v>
      </c>
      <c r="F19" s="22" t="s">
        <v>158</v>
      </c>
      <c r="G19" s="22" t="s">
        <v>167</v>
      </c>
    </row>
    <row r="20" spans="1:33" ht="16.5">
      <c r="A20" t="s">
        <v>206</v>
      </c>
      <c r="B20" s="38" t="s">
        <v>202</v>
      </c>
      <c r="C20" s="30">
        <f>C3/(24*3.6)/(C7-C8)</f>
        <v>277.77777777777777</v>
      </c>
      <c r="D20" s="30">
        <f t="shared" ref="D20:E20" si="10">D3/(24*3.6)/(D7-D8)</f>
        <v>555.55555555555554</v>
      </c>
      <c r="E20" s="30">
        <f t="shared" si="10"/>
        <v>1111.1111111111111</v>
      </c>
      <c r="F20" t="s">
        <v>1</v>
      </c>
      <c r="G20" s="46" t="s">
        <v>377</v>
      </c>
    </row>
    <row r="21" spans="1:33" ht="16.5">
      <c r="A21" t="s">
        <v>203</v>
      </c>
      <c r="B21" s="41" t="s">
        <v>379</v>
      </c>
      <c r="C21" s="28">
        <f>C20^2*C54+C20*C55+C56</f>
        <v>0.62975778546712791</v>
      </c>
      <c r="D21" s="28">
        <f>D20^2*D54+D20*D55+D56</f>
        <v>0.62975778546712791</v>
      </c>
      <c r="E21" s="28">
        <f>E20^2*E54+E20*E55+E56</f>
        <v>0.62975778546712791</v>
      </c>
      <c r="F21" t="s">
        <v>154</v>
      </c>
    </row>
    <row r="22" spans="1:33" ht="16.5">
      <c r="A22" t="s">
        <v>205</v>
      </c>
      <c r="B22" s="38" t="s">
        <v>204</v>
      </c>
      <c r="C22" s="29">
        <f>C20/1000*(C4+C5)*g*dw/1000/C21</f>
        <v>26.395068681318691</v>
      </c>
      <c r="D22" s="29">
        <f>D20/1000*(D4+D5)*g*dw/1000/D21</f>
        <v>70.098379120879144</v>
      </c>
      <c r="E22" s="29">
        <f>E20/1000*(E4+E5)*g*dw/1000/E21</f>
        <v>174.81324175824182</v>
      </c>
      <c r="F22" t="s">
        <v>2</v>
      </c>
    </row>
    <row r="24" spans="1:33" ht="16.5">
      <c r="A24" t="s">
        <v>230</v>
      </c>
      <c r="B24" s="38" t="s">
        <v>182</v>
      </c>
      <c r="C24" s="30">
        <f>C36</f>
        <v>472.22222222222217</v>
      </c>
      <c r="D24" s="30">
        <f>D36</f>
        <v>944.44444444444434</v>
      </c>
      <c r="E24" s="30">
        <f>E36</f>
        <v>1888.8888888888887</v>
      </c>
      <c r="F24" t="s">
        <v>1</v>
      </c>
    </row>
    <row r="25" spans="1:33" ht="16.5">
      <c r="A25" t="s">
        <v>234</v>
      </c>
      <c r="B25" s="38" t="s">
        <v>201</v>
      </c>
      <c r="C25" s="27">
        <f>C14</f>
        <v>0.8</v>
      </c>
      <c r="D25" s="27">
        <f>D14</f>
        <v>0.8</v>
      </c>
      <c r="E25" s="27">
        <f>E14</f>
        <v>0.8</v>
      </c>
      <c r="F25" t="s">
        <v>154</v>
      </c>
    </row>
    <row r="27" spans="1:33" ht="15" thickBot="1">
      <c r="A27" s="22" t="s">
        <v>214</v>
      </c>
      <c r="B27" s="37"/>
      <c r="C27" s="22"/>
      <c r="D27" s="22"/>
      <c r="E27" s="22"/>
      <c r="F27" s="22"/>
      <c r="G27" s="22"/>
    </row>
    <row r="28" spans="1:33" ht="16.5">
      <c r="A28" t="s">
        <v>215</v>
      </c>
      <c r="B28" s="38" t="s">
        <v>179</v>
      </c>
      <c r="C28" s="16">
        <v>0</v>
      </c>
      <c r="D28" s="16">
        <v>0</v>
      </c>
      <c r="E28" s="16">
        <v>0</v>
      </c>
      <c r="F28" t="s">
        <v>1</v>
      </c>
    </row>
    <row r="29" spans="1:33" ht="16.5">
      <c r="A29" t="s">
        <v>216</v>
      </c>
      <c r="B29" s="38" t="s">
        <v>178</v>
      </c>
      <c r="C29" s="17">
        <f>C33*(1+C10)</f>
        <v>10.37</v>
      </c>
      <c r="D29" s="17">
        <f>D33*(1+D10)</f>
        <v>13.77</v>
      </c>
      <c r="E29" s="17">
        <f>E33*(1+E10)</f>
        <v>17.169999999999998</v>
      </c>
      <c r="F29" t="s">
        <v>0</v>
      </c>
    </row>
    <row r="30" spans="1:33" ht="16.5">
      <c r="A30" t="s">
        <v>217</v>
      </c>
      <c r="B30" s="41" t="s">
        <v>177</v>
      </c>
      <c r="C30" s="28">
        <v>0</v>
      </c>
      <c r="D30" s="28">
        <v>0</v>
      </c>
      <c r="E30" s="28">
        <v>0</v>
      </c>
      <c r="F30" t="s">
        <v>154</v>
      </c>
    </row>
    <row r="31" spans="1:33" ht="15" thickBot="1">
      <c r="A31" s="22" t="s">
        <v>218</v>
      </c>
      <c r="B31" s="37"/>
      <c r="C31" s="22"/>
      <c r="D31" s="22"/>
      <c r="E31" s="22"/>
      <c r="F31" s="22"/>
      <c r="G31" s="22"/>
    </row>
    <row r="32" spans="1:33" ht="16.5">
      <c r="A32" t="s">
        <v>219</v>
      </c>
      <c r="B32" s="38" t="s">
        <v>238</v>
      </c>
      <c r="C32" s="16">
        <f>+C20</f>
        <v>277.77777777777777</v>
      </c>
      <c r="D32" s="16">
        <f t="shared" ref="D32:E32" si="11">+D20</f>
        <v>555.55555555555554</v>
      </c>
      <c r="E32" s="16">
        <f t="shared" si="11"/>
        <v>1111.1111111111111</v>
      </c>
      <c r="F32" t="s">
        <v>1</v>
      </c>
    </row>
    <row r="33" spans="1:7" ht="16.5">
      <c r="A33" t="s">
        <v>220</v>
      </c>
      <c r="B33" s="38" t="s">
        <v>239</v>
      </c>
      <c r="C33" s="17">
        <f>(C4+C5)</f>
        <v>6.1</v>
      </c>
      <c r="D33" s="17">
        <f>(D4+D5)</f>
        <v>8.1</v>
      </c>
      <c r="E33" s="17">
        <f>(E4+E5)</f>
        <v>10.1</v>
      </c>
      <c r="F33" t="s">
        <v>0</v>
      </c>
    </row>
    <row r="34" spans="1:7" ht="16.5">
      <c r="A34" t="s">
        <v>221</v>
      </c>
      <c r="B34" s="41" t="s">
        <v>240</v>
      </c>
      <c r="C34" s="28">
        <f>C32^2*C54+C32*C55+C56</f>
        <v>0.62975778546712791</v>
      </c>
      <c r="D34" s="28">
        <f>D32^2*D54+D32*D55+D56</f>
        <v>0.62975778546712791</v>
      </c>
      <c r="E34" s="28">
        <f>E32^2*E54+E32*E55+E56</f>
        <v>0.62975778546712791</v>
      </c>
      <c r="F34" t="s">
        <v>154</v>
      </c>
    </row>
    <row r="35" spans="1:7" ht="15" thickBot="1">
      <c r="A35" s="22" t="s">
        <v>229</v>
      </c>
      <c r="B35" s="37"/>
      <c r="C35" s="22"/>
      <c r="D35" s="22"/>
      <c r="E35" s="22"/>
      <c r="F35" s="22"/>
      <c r="G35" s="22"/>
    </row>
    <row r="36" spans="1:7" ht="16.5">
      <c r="A36" t="s">
        <v>222</v>
      </c>
      <c r="B36" s="38" t="s">
        <v>182</v>
      </c>
      <c r="C36" s="16">
        <f>C32*(1+C11)</f>
        <v>472.22222222222217</v>
      </c>
      <c r="D36" s="16">
        <f>D32*(1+D11)</f>
        <v>944.44444444444434</v>
      </c>
      <c r="E36" s="16">
        <f>E32*(1+E11)</f>
        <v>1888.8888888888887</v>
      </c>
      <c r="F36" t="s">
        <v>1</v>
      </c>
    </row>
    <row r="37" spans="1:7" ht="16.5">
      <c r="A37" t="s">
        <v>223</v>
      </c>
      <c r="B37" s="38" t="s">
        <v>183</v>
      </c>
      <c r="C37" s="17">
        <v>0</v>
      </c>
      <c r="D37" s="17">
        <v>0</v>
      </c>
      <c r="E37" s="17">
        <v>0</v>
      </c>
      <c r="F37" t="s">
        <v>0</v>
      </c>
    </row>
    <row r="38" spans="1:7" ht="16.5">
      <c r="A38" t="s">
        <v>224</v>
      </c>
      <c r="B38" s="41" t="s">
        <v>184</v>
      </c>
      <c r="C38" s="28">
        <v>0</v>
      </c>
      <c r="D38" s="28">
        <v>0</v>
      </c>
      <c r="E38" s="28">
        <v>0</v>
      </c>
      <c r="F38" t="s">
        <v>154</v>
      </c>
    </row>
    <row r="39" spans="1:7" ht="15" thickBot="1">
      <c r="A39" s="22" t="s">
        <v>225</v>
      </c>
      <c r="B39" s="37"/>
      <c r="C39" s="22"/>
      <c r="D39" s="22"/>
      <c r="E39" s="22"/>
      <c r="F39" s="22"/>
      <c r="G39" s="22"/>
    </row>
    <row r="40" spans="1:7" ht="17">
      <c r="A40" t="s">
        <v>226</v>
      </c>
      <c r="B40" s="38" t="s">
        <v>196</v>
      </c>
      <c r="C40" s="16">
        <f>C36/2</f>
        <v>236.11111111111109</v>
      </c>
      <c r="D40" s="16">
        <f>D36/2</f>
        <v>472.22222222222217</v>
      </c>
      <c r="E40" s="16">
        <f>E36/2</f>
        <v>944.44444444444434</v>
      </c>
      <c r="F40" t="s">
        <v>1</v>
      </c>
    </row>
    <row r="41" spans="1:7" ht="17">
      <c r="A41" t="s">
        <v>227</v>
      </c>
      <c r="B41" s="38" t="s">
        <v>195</v>
      </c>
      <c r="C41" s="17">
        <f>C40^2*C46+C40*C47+C48</f>
        <v>7.0738214285714287</v>
      </c>
      <c r="D41" s="17">
        <f>D40^2*D46+D40*D47+D48</f>
        <v>9.3931071428571435</v>
      </c>
      <c r="E41" s="17">
        <f>E40^2*E46+E40*E47+E48</f>
        <v>11.712392857142857</v>
      </c>
      <c r="F41" t="s">
        <v>0</v>
      </c>
    </row>
    <row r="42" spans="1:7" ht="16.5">
      <c r="A42" t="s">
        <v>228</v>
      </c>
      <c r="B42" s="41" t="s">
        <v>194</v>
      </c>
      <c r="C42" s="28">
        <f>C9</f>
        <v>0.65</v>
      </c>
      <c r="D42" s="28">
        <f>D9</f>
        <v>0.65</v>
      </c>
      <c r="E42" s="28">
        <f>E9</f>
        <v>0.65</v>
      </c>
      <c r="F42" t="s">
        <v>154</v>
      </c>
    </row>
    <row r="44" spans="1:7" ht="18" thickBot="1">
      <c r="A44" s="97" t="s">
        <v>271</v>
      </c>
      <c r="B44" s="97"/>
      <c r="C44" s="26" t="s">
        <v>172</v>
      </c>
      <c r="D44" s="26" t="s">
        <v>173</v>
      </c>
      <c r="E44" s="26" t="s">
        <v>174</v>
      </c>
      <c r="F44" s="99" t="s">
        <v>386</v>
      </c>
      <c r="G44" s="99"/>
    </row>
    <row r="45" spans="1:7" ht="15.5" thickTop="1" thickBot="1">
      <c r="A45" s="22" t="s">
        <v>157</v>
      </c>
      <c r="B45" s="37" t="s">
        <v>156</v>
      </c>
      <c r="C45" s="23" t="s">
        <v>166</v>
      </c>
      <c r="D45" s="23" t="s">
        <v>166</v>
      </c>
      <c r="E45" s="23" t="s">
        <v>166</v>
      </c>
      <c r="F45" s="22" t="s">
        <v>158</v>
      </c>
      <c r="G45" s="22" t="s">
        <v>167</v>
      </c>
    </row>
    <row r="46" spans="1:7" ht="16.5">
      <c r="A46" s="58" t="s">
        <v>301</v>
      </c>
      <c r="B46" s="72" t="s">
        <v>382</v>
      </c>
      <c r="C46" s="32">
        <f>(C37-C29)/((C36-C28)*(C36-C32))-(C33-C29)/((C32-C28)*(C36-C32))</f>
        <v>-3.3881142857142887E-5</v>
      </c>
      <c r="D46" s="32">
        <f>(D37-D29)/((D36-D28)*(D36-D32))-(D33-D29)/((D32-D28)*(D36-D32))</f>
        <v>-1.1247428571428579E-5</v>
      </c>
      <c r="E46" s="32">
        <f>(E37-E29)/((E36-E28)*(E36-E32))-(E33-E29)/((E32-E28)*(E36-E32))</f>
        <v>-3.5061428571428599E-6</v>
      </c>
      <c r="F46" t="s">
        <v>154</v>
      </c>
    </row>
    <row r="47" spans="1:7" ht="16.5">
      <c r="A47" s="58" t="s">
        <v>302</v>
      </c>
      <c r="B47" s="72" t="s">
        <v>383</v>
      </c>
      <c r="C47" s="32">
        <f>(C33-C29)/(C32-C28)-(C32+C28)*C46</f>
        <v>-5.9605714285714193E-3</v>
      </c>
      <c r="D47" s="32">
        <f>(D33-D29)/(D32-D28)-(D32+D28)*D46</f>
        <v>-3.9574285714285675E-3</v>
      </c>
      <c r="E47" s="32">
        <f>(E33-E29)/(E32-E28)-(E32+E28)*E46</f>
        <v>-2.4672857142857101E-3</v>
      </c>
      <c r="F47" t="s">
        <v>154</v>
      </c>
    </row>
    <row r="48" spans="1:7" ht="16.5">
      <c r="A48" s="58" t="s">
        <v>303</v>
      </c>
      <c r="B48" s="72" t="s">
        <v>384</v>
      </c>
      <c r="C48" s="29">
        <f>C29-C28^2*C46-C28*C47</f>
        <v>10.37</v>
      </c>
      <c r="D48" s="29">
        <f>D29-D28^2*D46-D28*D47</f>
        <v>13.77</v>
      </c>
      <c r="E48" s="29">
        <f>E29-E28^2*E46-E28*E47</f>
        <v>17.169999999999998</v>
      </c>
      <c r="F48" t="s">
        <v>154</v>
      </c>
    </row>
    <row r="49" spans="1:9" ht="16.5">
      <c r="A49" s="58" t="s">
        <v>368</v>
      </c>
      <c r="B49" s="72" t="s">
        <v>314</v>
      </c>
      <c r="C49" s="17">
        <f>-C47/2/C46</f>
        <v>-87.962962962962749</v>
      </c>
      <c r="D49" s="17">
        <f>-D47/2/D46</f>
        <v>-175.92592592592564</v>
      </c>
      <c r="E49" s="17">
        <f>-E47/2/E46</f>
        <v>-351.85185185185099</v>
      </c>
      <c r="F49" t="s">
        <v>1</v>
      </c>
    </row>
    <row r="50" spans="1:9" ht="16.5">
      <c r="A50" s="58" t="s">
        <v>369</v>
      </c>
      <c r="B50" s="72" t="s">
        <v>178</v>
      </c>
      <c r="C50" s="17">
        <f>C46*C49^2+C47*C49+C48</f>
        <v>10.63215476190476</v>
      </c>
      <c r="D50" s="17">
        <f>D46*D49^2+D47*D49+D48</f>
        <v>14.118107142857141</v>
      </c>
      <c r="E50" s="17">
        <f>E46*E49^2+E47*E49+E48</f>
        <v>17.604059523809521</v>
      </c>
      <c r="F50" t="s">
        <v>0</v>
      </c>
    </row>
    <row r="52" spans="1:9" ht="18" thickBot="1">
      <c r="A52" s="97" t="s">
        <v>272</v>
      </c>
      <c r="B52" s="97"/>
      <c r="C52" s="26" t="s">
        <v>172</v>
      </c>
      <c r="D52" s="26" t="s">
        <v>173</v>
      </c>
      <c r="E52" s="26" t="s">
        <v>174</v>
      </c>
      <c r="F52" s="102" t="s">
        <v>389</v>
      </c>
      <c r="G52" s="102"/>
    </row>
    <row r="53" spans="1:9" ht="15.5" thickTop="1" thickBot="1">
      <c r="A53" s="22" t="s">
        <v>157</v>
      </c>
      <c r="B53" s="37" t="s">
        <v>156</v>
      </c>
      <c r="C53" s="23" t="s">
        <v>166</v>
      </c>
      <c r="D53" s="23" t="s">
        <v>166</v>
      </c>
      <c r="E53" s="23" t="s">
        <v>166</v>
      </c>
      <c r="F53" s="22" t="s">
        <v>158</v>
      </c>
      <c r="G53" s="22" t="s">
        <v>167</v>
      </c>
    </row>
    <row r="54" spans="1:9" ht="17">
      <c r="A54" s="58" t="s">
        <v>304</v>
      </c>
      <c r="B54" s="72" t="s">
        <v>310</v>
      </c>
      <c r="C54" s="32">
        <f>(C38-C30)/((C36-C28)*(C36-C40))-(C42-C30)/((C40-C28)*(C36-C40))</f>
        <v>-1.1659515570934259E-5</v>
      </c>
      <c r="D54" s="32">
        <f>(D38-D30)/((D36-D28)*(D36-D40))-(D42-D30)/((D40-D28)*(D36-D40))</f>
        <v>-2.9148788927335647E-6</v>
      </c>
      <c r="E54" s="32">
        <f>(E38-E30)/((E36-E28)*(E36-E40))-(E42-E30)/((E40-E28)*(E36-E40))</f>
        <v>-7.2871972318339119E-7</v>
      </c>
      <c r="F54" t="s">
        <v>154</v>
      </c>
    </row>
    <row r="55" spans="1:9" ht="17">
      <c r="A55" s="58" t="s">
        <v>305</v>
      </c>
      <c r="B55" s="72" t="s">
        <v>311</v>
      </c>
      <c r="C55" s="32">
        <f>(C42-C30)/(C40-C28)-(C40+C28)*C54</f>
        <v>5.5058823529411773E-3</v>
      </c>
      <c r="D55" s="32">
        <f>(D42-D30)/(D40-D28)-(D40+D28)*D54</f>
        <v>2.7529411764705886E-3</v>
      </c>
      <c r="E55" s="32">
        <f>(E42-E30)/(E40-E28)-(E40+E28)*E54</f>
        <v>1.3764705882352943E-3</v>
      </c>
      <c r="F55" t="s">
        <v>154</v>
      </c>
    </row>
    <row r="56" spans="1:9" ht="17">
      <c r="A56" s="58" t="s">
        <v>306</v>
      </c>
      <c r="B56" s="72" t="s">
        <v>312</v>
      </c>
      <c r="C56" s="32">
        <v>0</v>
      </c>
      <c r="D56" s="32">
        <v>0</v>
      </c>
      <c r="E56" s="32">
        <v>0</v>
      </c>
      <c r="F56" t="s">
        <v>154</v>
      </c>
    </row>
    <row r="57" spans="1:9" ht="17">
      <c r="A57" s="58" t="s">
        <v>226</v>
      </c>
      <c r="B57" s="72" t="s">
        <v>196</v>
      </c>
      <c r="C57" s="17">
        <f>-C55/2/C54</f>
        <v>236.11111111111109</v>
      </c>
      <c r="D57" s="17">
        <f>-D55/2/D54</f>
        <v>472.22222222222217</v>
      </c>
      <c r="E57" s="17">
        <f>-E55/2/E54</f>
        <v>944.44444444444434</v>
      </c>
      <c r="F57" t="s">
        <v>1</v>
      </c>
    </row>
    <row r="58" spans="1:9" ht="16.5">
      <c r="A58" s="58" t="s">
        <v>309</v>
      </c>
      <c r="B58" s="67" t="s">
        <v>251</v>
      </c>
      <c r="C58" s="28">
        <f>C54*C57^2+C55*C57+C56</f>
        <v>0.65</v>
      </c>
      <c r="D58" s="28">
        <f>D54*D57^2+D55*D57+D56</f>
        <v>0.65</v>
      </c>
      <c r="E58" s="28">
        <f>E54*E57^2+E55*E57+E56</f>
        <v>0.65</v>
      </c>
      <c r="F58" t="s">
        <v>154</v>
      </c>
    </row>
    <row r="59" spans="1:9">
      <c r="I59" s="10"/>
    </row>
    <row r="60" spans="1:9" ht="17.5" thickBot="1">
      <c r="A60" s="97" t="s">
        <v>181</v>
      </c>
      <c r="B60" s="97"/>
      <c r="C60" s="26" t="s">
        <v>172</v>
      </c>
      <c r="D60" s="26" t="s">
        <v>173</v>
      </c>
      <c r="E60" s="26" t="s">
        <v>174</v>
      </c>
      <c r="F60" s="100"/>
      <c r="G60" s="100"/>
    </row>
    <row r="61" spans="1:9" ht="15.5" thickTop="1" thickBot="1">
      <c r="A61" s="22" t="s">
        <v>157</v>
      </c>
      <c r="B61" s="37" t="s">
        <v>156</v>
      </c>
      <c r="C61" s="23" t="s">
        <v>166</v>
      </c>
      <c r="D61" s="23" t="s">
        <v>166</v>
      </c>
      <c r="E61" s="23" t="s">
        <v>166</v>
      </c>
      <c r="F61" s="22" t="s">
        <v>158</v>
      </c>
      <c r="G61" s="22" t="s">
        <v>167</v>
      </c>
    </row>
    <row r="62" spans="1:9" ht="15" thickBot="1">
      <c r="A62" s="22" t="s">
        <v>185</v>
      </c>
      <c r="B62" s="37"/>
      <c r="C62" s="22"/>
      <c r="D62" s="22"/>
      <c r="E62" s="22"/>
      <c r="F62" s="22"/>
      <c r="G62" s="22"/>
    </row>
    <row r="63" spans="1:9" ht="16.5">
      <c r="A63" t="s">
        <v>235</v>
      </c>
      <c r="B63" s="38" t="s">
        <v>210</v>
      </c>
      <c r="C63" s="16">
        <v>0</v>
      </c>
      <c r="D63" s="16">
        <v>0</v>
      </c>
      <c r="E63" s="16">
        <v>0</v>
      </c>
      <c r="F63" t="s">
        <v>1</v>
      </c>
    </row>
    <row r="64" spans="1:9" ht="16.5">
      <c r="A64" t="s">
        <v>242</v>
      </c>
      <c r="B64" s="41" t="s">
        <v>211</v>
      </c>
      <c r="C64" s="28">
        <v>0</v>
      </c>
      <c r="D64" s="28">
        <v>0</v>
      </c>
      <c r="E64" s="28">
        <v>0</v>
      </c>
      <c r="F64" t="s">
        <v>154</v>
      </c>
    </row>
    <row r="65" spans="1:7" ht="15" thickBot="1">
      <c r="A65" s="22" t="s">
        <v>186</v>
      </c>
      <c r="B65" s="37"/>
      <c r="C65" s="22"/>
      <c r="D65" s="22"/>
      <c r="E65" s="22"/>
      <c r="F65" s="22"/>
      <c r="G65" s="22"/>
    </row>
    <row r="66" spans="1:7" ht="17">
      <c r="A66" t="s">
        <v>243</v>
      </c>
      <c r="B66" s="38" t="s">
        <v>208</v>
      </c>
      <c r="C66" s="16">
        <f>+C69/2</f>
        <v>141.81092575602011</v>
      </c>
      <c r="D66" s="16">
        <f>+D69/2</f>
        <v>315.99231882513214</v>
      </c>
      <c r="E66" s="16">
        <f>+E69/2</f>
        <v>631.98463765026429</v>
      </c>
      <c r="F66" t="s">
        <v>1</v>
      </c>
    </row>
    <row r="67" spans="1:7" ht="16.5">
      <c r="A67" t="s">
        <v>244</v>
      </c>
      <c r="B67" s="41" t="s">
        <v>207</v>
      </c>
      <c r="C67" s="28">
        <f>C42*(1-C13)</f>
        <v>0.55249999999999999</v>
      </c>
      <c r="D67" s="28">
        <f>D42*(1-D13)</f>
        <v>0.55249999999999999</v>
      </c>
      <c r="E67" s="28">
        <f>E42*(1-E13)</f>
        <v>0.55249999999999999</v>
      </c>
      <c r="F67" t="s">
        <v>154</v>
      </c>
    </row>
    <row r="68" spans="1:7" ht="15" thickBot="1">
      <c r="A68" s="22" t="s">
        <v>187</v>
      </c>
      <c r="B68" s="37"/>
      <c r="C68" s="22"/>
      <c r="D68" s="22"/>
      <c r="E68" s="22"/>
      <c r="F68" s="22"/>
      <c r="G68" s="22"/>
    </row>
    <row r="69" spans="1:7" ht="16.5">
      <c r="A69" t="s">
        <v>236</v>
      </c>
      <c r="B69" s="38" t="s">
        <v>209</v>
      </c>
      <c r="C69" s="16">
        <f>(-C47-SQRT(C47^2-4*C46*(C48-C25*C12*C50)))/2/C46</f>
        <v>283.62185151204022</v>
      </c>
      <c r="D69" s="16">
        <f>(-D47-SQRT(D47^2-4*D46*(D48-D25*D12*D50)))/2/D46</f>
        <v>631.98463765026429</v>
      </c>
      <c r="E69" s="16">
        <f>(-E47-SQRT(E47^2-4*E46*(E48-E25*E12*E50)))/2/E46</f>
        <v>1263.9692753005286</v>
      </c>
      <c r="F69" t="s">
        <v>1</v>
      </c>
    </row>
    <row r="70" spans="1:7" ht="16.5">
      <c r="A70" t="s">
        <v>237</v>
      </c>
      <c r="B70" s="41" t="s">
        <v>211</v>
      </c>
      <c r="C70" s="28">
        <v>0</v>
      </c>
      <c r="D70" s="28">
        <v>0</v>
      </c>
      <c r="E70" s="28">
        <v>0</v>
      </c>
      <c r="F70" t="s">
        <v>154</v>
      </c>
    </row>
    <row r="71" spans="1:7">
      <c r="B71" s="41"/>
      <c r="C71" s="41"/>
      <c r="D71" s="41"/>
      <c r="E71" s="41"/>
      <c r="F71" s="41"/>
    </row>
    <row r="72" spans="1:7" ht="17.5" thickBot="1">
      <c r="A72" s="97" t="s">
        <v>387</v>
      </c>
      <c r="B72" s="97"/>
      <c r="C72" s="26" t="s">
        <v>172</v>
      </c>
      <c r="D72" s="26" t="s">
        <v>173</v>
      </c>
      <c r="E72" s="26" t="s">
        <v>174</v>
      </c>
      <c r="F72" s="101" t="s">
        <v>388</v>
      </c>
      <c r="G72" s="101"/>
    </row>
    <row r="73" spans="1:7" ht="15.5" thickTop="1" thickBot="1">
      <c r="A73" s="22" t="s">
        <v>157</v>
      </c>
      <c r="B73" s="37" t="s">
        <v>156</v>
      </c>
      <c r="C73" s="23" t="s">
        <v>166</v>
      </c>
      <c r="D73" s="23" t="s">
        <v>166</v>
      </c>
      <c r="E73" s="23" t="s">
        <v>166</v>
      </c>
      <c r="F73" s="22" t="s">
        <v>158</v>
      </c>
      <c r="G73" s="22" t="s">
        <v>167</v>
      </c>
    </row>
    <row r="74" spans="1:7" ht="17">
      <c r="A74" s="58" t="s">
        <v>365</v>
      </c>
      <c r="B74" s="72" t="s">
        <v>316</v>
      </c>
      <c r="C74" s="32">
        <f>(C70-C64)/((C69-C63)*(C69-C66))-(C67-C64)/((C66-C63)*(C69-C66))</f>
        <v>-2.7473430917158191E-5</v>
      </c>
      <c r="D74" s="32">
        <f>(D70-D64)/((D69-D63)*(D69-D66))-(D67-D64)/((D66-D63)*(D69-D66))</f>
        <v>-5.5332364683533944E-6</v>
      </c>
      <c r="E74" s="32">
        <f>(E70-E64)/((E69-E63)*(E69-E66))-(E67-E64)/((E66-E63)*(E69-E66))</f>
        <v>-1.3833091170883486E-6</v>
      </c>
      <c r="F74" t="s">
        <v>154</v>
      </c>
    </row>
    <row r="75" spans="1:7" ht="17">
      <c r="A75" s="58" t="s">
        <v>366</v>
      </c>
      <c r="B75" s="72" t="s">
        <v>317</v>
      </c>
      <c r="C75" s="32">
        <f>(C67-C64)/(C66-C63)-(C66+C63)*C74</f>
        <v>7.7920653441125353E-3</v>
      </c>
      <c r="D75" s="32">
        <f>(D67-D64)/(D66-D63)-(D66+D63)*D74</f>
        <v>3.4969204444855479E-3</v>
      </c>
      <c r="E75" s="32">
        <f>(E67-E64)/(E66-E63)-(E66+E63)*E74</f>
        <v>1.748460222242774E-3</v>
      </c>
      <c r="F75" t="s">
        <v>154</v>
      </c>
    </row>
    <row r="76" spans="1:7" ht="17">
      <c r="A76" s="58" t="s">
        <v>367</v>
      </c>
      <c r="B76" s="72" t="s">
        <v>318</v>
      </c>
      <c r="C76" s="29">
        <v>0</v>
      </c>
      <c r="D76" s="29">
        <v>0</v>
      </c>
      <c r="E76" s="29">
        <v>0</v>
      </c>
      <c r="F76" t="s">
        <v>154</v>
      </c>
    </row>
  </sheetData>
  <mergeCells count="8">
    <mergeCell ref="A52:B52"/>
    <mergeCell ref="A44:B44"/>
    <mergeCell ref="A60:B60"/>
    <mergeCell ref="A72:B72"/>
    <mergeCell ref="F44:G44"/>
    <mergeCell ref="F60:G60"/>
    <mergeCell ref="F72:G72"/>
    <mergeCell ref="F52:G52"/>
  </mergeCells>
  <conditionalFormatting sqref="N2">
    <cfRule type="cellIs" dxfId="32" priority="12" stopIfTrue="1" operator="notEqual">
      <formula>INDIRECT("Dummy_for_Comparison3!"&amp;ADDRESS(ROW(),COLUMN()))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106A-BC5D-4D36-AB81-1E9823546124}">
  <dimension ref="A1:AJ118"/>
  <sheetViews>
    <sheetView showGridLines="0" zoomScaleNormal="100" workbookViewId="0"/>
  </sheetViews>
  <sheetFormatPr defaultColWidth="11.453125" defaultRowHeight="14.5"/>
  <cols>
    <col min="1" max="1" width="46.81640625" style="58" customWidth="1"/>
    <col min="2" max="2" width="15" style="72" bestFit="1" customWidth="1"/>
    <col min="3" max="6" width="11.453125" style="46"/>
    <col min="7" max="7" width="15.453125" style="46" customWidth="1"/>
    <col min="8" max="8" width="2.6328125" style="46" customWidth="1"/>
    <col min="9" max="22" width="10.6328125" style="46" customWidth="1"/>
    <col min="23" max="24" width="11.453125" style="46"/>
    <col min="25" max="25" width="2.6328125" style="46" customWidth="1"/>
    <col min="26" max="36" width="15.6328125" style="46" customWidth="1"/>
    <col min="37" max="16384" width="11.453125" style="46"/>
  </cols>
  <sheetData>
    <row r="1" spans="1:36" ht="20" thickBot="1">
      <c r="A1" s="79" t="s">
        <v>165</v>
      </c>
      <c r="B1" s="44"/>
      <c r="C1" s="45"/>
      <c r="D1" s="43"/>
      <c r="E1" s="43"/>
      <c r="F1" s="43"/>
      <c r="G1" s="43"/>
    </row>
    <row r="2" spans="1:36" ht="15.5" thickTop="1" thickBot="1">
      <c r="A2" s="74" t="s">
        <v>157</v>
      </c>
      <c r="B2" s="48" t="s">
        <v>156</v>
      </c>
      <c r="C2" s="49" t="s">
        <v>166</v>
      </c>
      <c r="D2" s="47" t="s">
        <v>158</v>
      </c>
      <c r="E2" s="47" t="s">
        <v>167</v>
      </c>
      <c r="F2" s="47"/>
      <c r="G2" s="47"/>
      <c r="Y2" s="46" t="s">
        <v>287</v>
      </c>
    </row>
    <row r="3" spans="1:36" ht="16.5">
      <c r="A3" s="58" t="s">
        <v>378</v>
      </c>
      <c r="B3" s="72" t="s">
        <v>294</v>
      </c>
      <c r="C3" s="96">
        <v>24000</v>
      </c>
      <c r="D3" s="58" t="s">
        <v>390</v>
      </c>
      <c r="E3" s="104"/>
      <c r="F3" s="104"/>
      <c r="G3" s="104"/>
      <c r="J3" s="50"/>
      <c r="Y3" s="46" t="s">
        <v>288</v>
      </c>
    </row>
    <row r="4" spans="1:36" ht="16.5">
      <c r="A4" s="58" t="s">
        <v>427</v>
      </c>
      <c r="B4" s="38" t="s">
        <v>428</v>
      </c>
      <c r="C4" s="87">
        <v>6</v>
      </c>
      <c r="D4" s="58" t="s">
        <v>0</v>
      </c>
      <c r="E4" s="103"/>
      <c r="F4" s="103"/>
      <c r="G4" s="103"/>
      <c r="J4" s="50"/>
    </row>
    <row r="5" spans="1:36">
      <c r="A5" s="38" t="s">
        <v>168</v>
      </c>
      <c r="B5" s="114" t="s">
        <v>429</v>
      </c>
      <c r="C5" s="87">
        <v>0.1</v>
      </c>
      <c r="D5" s="58" t="s">
        <v>0</v>
      </c>
      <c r="E5" s="103"/>
      <c r="F5" s="103"/>
      <c r="G5" s="103"/>
      <c r="J5" s="51"/>
      <c r="Y5" s="46" t="s">
        <v>289</v>
      </c>
    </row>
    <row r="6" spans="1:36" ht="16.5">
      <c r="A6" s="58" t="s">
        <v>375</v>
      </c>
      <c r="B6" s="38" t="s">
        <v>430</v>
      </c>
      <c r="C6" s="87">
        <f>+C5+C4</f>
        <v>6.1</v>
      </c>
      <c r="D6" s="58" t="s">
        <v>0</v>
      </c>
      <c r="E6" s="103" t="s">
        <v>295</v>
      </c>
      <c r="F6" s="103"/>
      <c r="G6" s="103"/>
      <c r="J6" s="51"/>
    </row>
    <row r="7" spans="1:36" ht="16.5">
      <c r="A7" s="58" t="s">
        <v>373</v>
      </c>
      <c r="B7" s="72" t="s">
        <v>371</v>
      </c>
      <c r="C7" s="88">
        <v>3</v>
      </c>
      <c r="D7" s="58" t="s">
        <v>164</v>
      </c>
      <c r="E7" s="103"/>
      <c r="F7" s="103"/>
      <c r="G7" s="103"/>
      <c r="I7" s="53"/>
      <c r="Y7" s="46" t="s">
        <v>290</v>
      </c>
    </row>
    <row r="8" spans="1:36" ht="16.5">
      <c r="A8" s="58" t="s">
        <v>374</v>
      </c>
      <c r="B8" s="72" t="s">
        <v>372</v>
      </c>
      <c r="C8" s="88">
        <v>1</v>
      </c>
      <c r="D8" s="58" t="s">
        <v>164</v>
      </c>
      <c r="E8" s="103" t="s">
        <v>296</v>
      </c>
      <c r="F8" s="103"/>
      <c r="G8" s="103"/>
      <c r="I8" s="53"/>
    </row>
    <row r="9" spans="1:36" ht="16.5">
      <c r="A9" s="58" t="s">
        <v>376</v>
      </c>
      <c r="B9" s="72" t="s">
        <v>294</v>
      </c>
      <c r="C9" s="52">
        <f>C3/(24*3.6)/(C7-C8)</f>
        <v>138.88888888888889</v>
      </c>
      <c r="D9" s="58" t="s">
        <v>1</v>
      </c>
      <c r="E9" s="103" t="s">
        <v>377</v>
      </c>
      <c r="F9" s="103"/>
      <c r="G9" s="103"/>
      <c r="Z9" s="80" t="s">
        <v>159</v>
      </c>
      <c r="AA9" s="113" t="s">
        <v>427</v>
      </c>
      <c r="AB9" s="80" t="s">
        <v>190</v>
      </c>
      <c r="AC9" s="80" t="s">
        <v>189</v>
      </c>
      <c r="AD9" s="80" t="s">
        <v>188</v>
      </c>
      <c r="AE9" s="81" t="s">
        <v>297</v>
      </c>
      <c r="AF9" s="80" t="s">
        <v>193</v>
      </c>
      <c r="AG9" s="81" t="s">
        <v>192</v>
      </c>
      <c r="AH9" s="80" t="s">
        <v>298</v>
      </c>
      <c r="AI9" s="81" t="s">
        <v>299</v>
      </c>
      <c r="AJ9" s="80" t="s">
        <v>300</v>
      </c>
    </row>
    <row r="10" spans="1:36">
      <c r="Z10" s="46">
        <v>0</v>
      </c>
      <c r="AA10" s="53">
        <f>$C$4</f>
        <v>6</v>
      </c>
      <c r="AB10" s="53">
        <f>$C$5*(Z10/($C$3/(24*3.6)))^2</f>
        <v>0</v>
      </c>
      <c r="AC10" s="53">
        <f>+AB10+AA10</f>
        <v>6</v>
      </c>
      <c r="AD10" s="68">
        <f>Z10^2*$C$63+Z10*$C$64+$C$65</f>
        <v>16.899999999999999</v>
      </c>
      <c r="AE10" s="69">
        <f t="shared" ref="AE10:AE30" si="0">Z10^2*$C$71+Z10*$C$72+$C$73</f>
        <v>0.3121659122596151</v>
      </c>
      <c r="AF10" s="68">
        <f>IF((Z10^2*$C$63+Z10*$C$64+$C$65-$C$67*(1-$C$36)*$C$84)&gt; 0, Z10^2*$C$63+Z10*$C$64+$C$65-$C$67*(1-$C$36)*$C$84, 0)</f>
        <v>6.7600000000000016</v>
      </c>
      <c r="AG10" s="63">
        <f t="shared" ref="AG10:AG30" si="1">Z10^2*$C$79+Z10*$C$80+$C$81</f>
        <v>0</v>
      </c>
      <c r="AH10" s="68">
        <f>Z10^2*$C$63+Z10*$C$64+$C$65-$C$67*(1-$C$42)*$C$84</f>
        <v>14.971118593340815</v>
      </c>
      <c r="AI10" s="69">
        <f t="shared" ref="AI10:AI30" si="2">Z10^2*$C$43+Z10*$C$44+$C$45</f>
        <v>0.27881049511509315</v>
      </c>
      <c r="AJ10" s="84">
        <f t="shared" ref="AJ10:AJ30" si="3">IF(AH10&lt;0,"",Z10*AD10*dw*g/10^6/AI10)</f>
        <v>0</v>
      </c>
    </row>
    <row r="11" spans="1:36" ht="20" thickBot="1">
      <c r="A11" s="79" t="s">
        <v>175</v>
      </c>
      <c r="B11" s="44"/>
      <c r="C11" s="43"/>
      <c r="D11" s="43"/>
      <c r="E11" s="43"/>
      <c r="F11" s="43"/>
      <c r="G11" s="43"/>
      <c r="H11" s="70"/>
      <c r="Z11" s="68">
        <f t="shared" ref="Z11:Z29" si="4">$Z$30/COUNTA($AA$11:$AA$30)+Z10</f>
        <v>10.727014078540975</v>
      </c>
      <c r="AA11" s="53">
        <f t="shared" ref="AA11:AA30" si="5">$C$4</f>
        <v>6</v>
      </c>
      <c r="AB11" s="53">
        <f t="shared" ref="AB11:AB29" si="6">$C$5*(Z11/($C$3/(24*3.6)))^2</f>
        <v>1.4912920502941631E-4</v>
      </c>
      <c r="AC11" s="53">
        <f t="shared" ref="AC11:AC30" si="7">+AB11+AA11</f>
        <v>6.0001491292050293</v>
      </c>
      <c r="AD11" s="68">
        <f t="shared" ref="AD11:AD30" si="8">Z11^2*$C$63+Z11*$C$64+$C$65</f>
        <v>16.485636382836066</v>
      </c>
      <c r="AE11" s="69">
        <f t="shared" si="0"/>
        <v>0.36554982234366978</v>
      </c>
      <c r="AF11" s="68">
        <f t="shared" ref="AF11:AF30" si="9">Z11^2*$C$63+Z11*$C$64+$C$65-$C$67*(1-$C$36)*$C$84</f>
        <v>6.3456363828360693</v>
      </c>
      <c r="AG11" s="63">
        <f t="shared" si="1"/>
        <v>0.1564530122993561</v>
      </c>
      <c r="AH11" s="68">
        <f t="shared" ref="AH11:AH30" si="10">Z11^2*$C$63+Z11*$C$64+$C$65-$C$67*(1-$C$42)*$C$84</f>
        <v>14.556754976176883</v>
      </c>
      <c r="AI11" s="69">
        <f t="shared" si="2"/>
        <v>0.33853109766393269</v>
      </c>
      <c r="AJ11" s="84">
        <f t="shared" si="3"/>
        <v>5.1245413893034275</v>
      </c>
    </row>
    <row r="12" spans="1:36" ht="15" thickTop="1">
      <c r="A12" s="75"/>
      <c r="B12" s="55"/>
      <c r="C12" s="54"/>
      <c r="H12" s="70"/>
      <c r="Z12" s="68">
        <f t="shared" si="4"/>
        <v>21.45402815708195</v>
      </c>
      <c r="AA12" s="53">
        <f t="shared" si="5"/>
        <v>6</v>
      </c>
      <c r="AB12" s="53">
        <f t="shared" si="6"/>
        <v>5.9651682011766525E-4</v>
      </c>
      <c r="AC12" s="53">
        <f t="shared" si="7"/>
        <v>6.0005965168201181</v>
      </c>
      <c r="AD12" s="68">
        <f t="shared" si="8"/>
        <v>16.025942620110442</v>
      </c>
      <c r="AE12" s="69">
        <f t="shared" si="0"/>
        <v>0.41357832228561442</v>
      </c>
      <c r="AF12" s="68">
        <f t="shared" si="9"/>
        <v>5.8859426201104448</v>
      </c>
      <c r="AG12" s="63">
        <f t="shared" si="1"/>
        <v>0.28054829318007701</v>
      </c>
      <c r="AH12" s="68">
        <f t="shared" si="10"/>
        <v>14.097061213451259</v>
      </c>
      <c r="AI12" s="69">
        <f t="shared" si="2"/>
        <v>0.3916100069726518</v>
      </c>
      <c r="AJ12" s="84">
        <f t="shared" si="3"/>
        <v>8.6128653188141531</v>
      </c>
    </row>
    <row r="13" spans="1:36" ht="17.5" thickBot="1">
      <c r="A13" s="109" t="s">
        <v>252</v>
      </c>
      <c r="B13" s="109"/>
      <c r="C13" s="109"/>
      <c r="D13" s="109"/>
      <c r="E13" s="57"/>
      <c r="F13" s="57"/>
      <c r="G13" s="57"/>
      <c r="H13" s="70"/>
      <c r="Z13" s="68">
        <f t="shared" si="4"/>
        <v>32.181042235622925</v>
      </c>
      <c r="AA13" s="53">
        <f t="shared" si="5"/>
        <v>6</v>
      </c>
      <c r="AB13" s="53">
        <f t="shared" si="6"/>
        <v>1.3421628452647471E-3</v>
      </c>
      <c r="AC13" s="53">
        <f t="shared" si="7"/>
        <v>6.0013421628452646</v>
      </c>
      <c r="AD13" s="68">
        <f t="shared" si="8"/>
        <v>15.520918711823127</v>
      </c>
      <c r="AE13" s="69">
        <f t="shared" si="0"/>
        <v>0.45625141208544895</v>
      </c>
      <c r="AF13" s="68">
        <f t="shared" si="9"/>
        <v>5.3809187118231296</v>
      </c>
      <c r="AG13" s="63">
        <f t="shared" si="1"/>
        <v>0.37228584264216263</v>
      </c>
      <c r="AH13" s="68">
        <f t="shared" si="10"/>
        <v>13.592037305163943</v>
      </c>
      <c r="AI13" s="69">
        <f t="shared" si="2"/>
        <v>0.43804722304125038</v>
      </c>
      <c r="AJ13" s="84">
        <f t="shared" si="3"/>
        <v>11.185762798073767</v>
      </c>
    </row>
    <row r="14" spans="1:36" ht="15.5" thickTop="1" thickBot="1">
      <c r="A14" s="74" t="s">
        <v>157</v>
      </c>
      <c r="B14" s="48" t="s">
        <v>156</v>
      </c>
      <c r="C14" s="49" t="s">
        <v>253</v>
      </c>
      <c r="D14" s="49" t="s">
        <v>254</v>
      </c>
      <c r="E14" s="49" t="s">
        <v>255</v>
      </c>
      <c r="F14" s="47" t="s">
        <v>158</v>
      </c>
      <c r="G14" s="47" t="s">
        <v>167</v>
      </c>
      <c r="H14" s="70"/>
      <c r="Z14" s="68">
        <f t="shared" si="4"/>
        <v>42.9080563141639</v>
      </c>
      <c r="AA14" s="53">
        <f t="shared" si="5"/>
        <v>6</v>
      </c>
      <c r="AB14" s="53">
        <f t="shared" si="6"/>
        <v>2.386067280470661E-3</v>
      </c>
      <c r="AC14" s="53">
        <f t="shared" si="7"/>
        <v>6.0023860672804705</v>
      </c>
      <c r="AD14" s="68">
        <f t="shared" si="8"/>
        <v>14.970564657974119</v>
      </c>
      <c r="AE14" s="69">
        <f t="shared" si="0"/>
        <v>0.49356909174317343</v>
      </c>
      <c r="AF14" s="68">
        <f t="shared" si="9"/>
        <v>4.8305646579741222</v>
      </c>
      <c r="AG14" s="63">
        <f t="shared" si="1"/>
        <v>0.43166566068561307</v>
      </c>
      <c r="AH14" s="68">
        <f t="shared" si="10"/>
        <v>13.041683251314936</v>
      </c>
      <c r="AI14" s="69">
        <f t="shared" si="2"/>
        <v>0.47784274586972852</v>
      </c>
      <c r="AJ14" s="84">
        <f t="shared" si="3"/>
        <v>13.187456292878322</v>
      </c>
    </row>
    <row r="15" spans="1:36" ht="16.5">
      <c r="A15" s="58" t="s">
        <v>256</v>
      </c>
      <c r="B15" s="72" t="s">
        <v>265</v>
      </c>
      <c r="C15" s="89">
        <v>60</v>
      </c>
      <c r="D15" s="89">
        <v>110</v>
      </c>
      <c r="E15" s="89">
        <v>170</v>
      </c>
      <c r="F15" s="46" t="s">
        <v>1</v>
      </c>
      <c r="H15" s="70"/>
      <c r="Z15" s="68">
        <f t="shared" si="4"/>
        <v>53.635070392704876</v>
      </c>
      <c r="AA15" s="53">
        <f t="shared" si="5"/>
        <v>6</v>
      </c>
      <c r="AB15" s="53">
        <f t="shared" si="6"/>
        <v>3.7282301257354081E-3</v>
      </c>
      <c r="AC15" s="53">
        <f t="shared" si="7"/>
        <v>6.0037282301257351</v>
      </c>
      <c r="AD15" s="68">
        <f t="shared" si="8"/>
        <v>14.374880458563421</v>
      </c>
      <c r="AE15" s="69">
        <f t="shared" si="0"/>
        <v>0.52553136125878774</v>
      </c>
      <c r="AF15" s="68">
        <f t="shared" si="9"/>
        <v>4.2348804585634241</v>
      </c>
      <c r="AG15" s="63">
        <f t="shared" si="1"/>
        <v>0.45868774731042822</v>
      </c>
      <c r="AH15" s="68">
        <f t="shared" si="10"/>
        <v>12.445999051904238</v>
      </c>
      <c r="AI15" s="69">
        <f t="shared" si="2"/>
        <v>0.51099657545808608</v>
      </c>
      <c r="AJ15" s="84">
        <f t="shared" si="3"/>
        <v>14.801444957304847</v>
      </c>
    </row>
    <row r="16" spans="1:36" ht="16.5">
      <c r="A16" s="58" t="s">
        <v>257</v>
      </c>
      <c r="B16" s="72" t="s">
        <v>264</v>
      </c>
      <c r="C16" s="90">
        <v>14</v>
      </c>
      <c r="D16" s="90">
        <v>10.5</v>
      </c>
      <c r="E16" s="90">
        <v>5</v>
      </c>
      <c r="F16" s="46" t="s">
        <v>0</v>
      </c>
      <c r="H16" s="70"/>
      <c r="Z16" s="68">
        <f t="shared" si="4"/>
        <v>64.362084471245851</v>
      </c>
      <c r="AA16" s="53">
        <f t="shared" si="5"/>
        <v>6</v>
      </c>
      <c r="AB16" s="53">
        <f t="shared" si="6"/>
        <v>5.3686513810589885E-3</v>
      </c>
      <c r="AC16" s="53">
        <f t="shared" si="7"/>
        <v>6.0053686513810591</v>
      </c>
      <c r="AD16" s="68">
        <f t="shared" si="8"/>
        <v>13.733866113591032</v>
      </c>
      <c r="AE16" s="69">
        <f t="shared" si="0"/>
        <v>0.55213822063229212</v>
      </c>
      <c r="AF16" s="68">
        <f t="shared" si="9"/>
        <v>3.5938661135910355</v>
      </c>
      <c r="AG16" s="63">
        <f t="shared" si="1"/>
        <v>0.45335210251660829</v>
      </c>
      <c r="AH16" s="68">
        <f t="shared" si="10"/>
        <v>11.804984706931849</v>
      </c>
      <c r="AI16" s="69">
        <f t="shared" si="2"/>
        <v>0.53750871180632331</v>
      </c>
      <c r="AJ16" s="84">
        <f t="shared" si="3"/>
        <v>16.132675938184693</v>
      </c>
    </row>
    <row r="17" spans="1:36" ht="16.5">
      <c r="A17" s="58" t="s">
        <v>261</v>
      </c>
      <c r="B17" s="73" t="s">
        <v>263</v>
      </c>
      <c r="C17" s="82">
        <f>C15*C16*dw*g/10^6/(C20)</f>
        <v>0.54196476923076919</v>
      </c>
      <c r="D17" s="82">
        <f>D15*D16*dw*g/10^6/(D20)</f>
        <v>0.60547626562500001</v>
      </c>
      <c r="E17" s="82">
        <f>E15*E16*dw*g/10^6/(E20)</f>
        <v>0.52810499999999994</v>
      </c>
      <c r="F17" s="46" t="s">
        <v>154</v>
      </c>
      <c r="H17" s="70"/>
      <c r="Z17" s="68">
        <f t="shared" si="4"/>
        <v>75.089098549786826</v>
      </c>
      <c r="AA17" s="53">
        <f t="shared" si="5"/>
        <v>6</v>
      </c>
      <c r="AB17" s="53">
        <f t="shared" si="6"/>
        <v>7.3073310464413987E-3</v>
      </c>
      <c r="AC17" s="53">
        <f t="shared" si="7"/>
        <v>6.0073073310464418</v>
      </c>
      <c r="AD17" s="68">
        <f t="shared" si="8"/>
        <v>13.047521623056952</v>
      </c>
      <c r="AE17" s="69">
        <f t="shared" si="0"/>
        <v>0.57338966986368622</v>
      </c>
      <c r="AF17" s="68">
        <f t="shared" si="9"/>
        <v>2.9075216230569545</v>
      </c>
      <c r="AG17" s="63">
        <f t="shared" si="1"/>
        <v>0.41565872630415301</v>
      </c>
      <c r="AH17" s="68">
        <f t="shared" si="10"/>
        <v>11.118640216397768</v>
      </c>
      <c r="AI17" s="69">
        <f t="shared" si="2"/>
        <v>0.55737915491444001</v>
      </c>
      <c r="AJ17" s="84">
        <f t="shared" si="3"/>
        <v>17.243411821330724</v>
      </c>
    </row>
    <row r="18" spans="1:36" ht="16.5">
      <c r="A18" s="58" t="s">
        <v>259</v>
      </c>
      <c r="B18" s="72" t="s">
        <v>266</v>
      </c>
      <c r="C18" s="90">
        <v>13</v>
      </c>
      <c r="D18" s="90">
        <v>16</v>
      </c>
      <c r="E18" s="90">
        <v>13.5</v>
      </c>
      <c r="F18" s="46" t="s">
        <v>2</v>
      </c>
      <c r="H18" s="70"/>
      <c r="Z18" s="68">
        <f t="shared" si="4"/>
        <v>85.816112628327801</v>
      </c>
      <c r="AA18" s="53">
        <f t="shared" si="5"/>
        <v>6</v>
      </c>
      <c r="AB18" s="53">
        <f t="shared" si="6"/>
        <v>9.5442691218826439E-3</v>
      </c>
      <c r="AC18" s="53">
        <f t="shared" si="7"/>
        <v>6.009544269121883</v>
      </c>
      <c r="AD18" s="68">
        <f t="shared" si="8"/>
        <v>12.31584698696118</v>
      </c>
      <c r="AE18" s="69">
        <f t="shared" si="0"/>
        <v>0.58928570895297039</v>
      </c>
      <c r="AF18" s="68">
        <f t="shared" si="9"/>
        <v>2.1758469869611829</v>
      </c>
      <c r="AG18" s="63">
        <f t="shared" si="1"/>
        <v>0.34560761867306256</v>
      </c>
      <c r="AH18" s="68">
        <f t="shared" si="10"/>
        <v>10.386965580301997</v>
      </c>
      <c r="AI18" s="69">
        <f t="shared" si="2"/>
        <v>0.57060790478243639</v>
      </c>
      <c r="AJ18" s="84">
        <f t="shared" si="3"/>
        <v>18.170394053879328</v>
      </c>
    </row>
    <row r="19" spans="1:36" ht="16.5">
      <c r="A19" s="58" t="s">
        <v>258</v>
      </c>
      <c r="B19" s="72" t="s">
        <v>267</v>
      </c>
      <c r="C19" s="52">
        <f>C18/$C$29</f>
        <v>13.684210526315789</v>
      </c>
      <c r="D19" s="52">
        <f>D18/$C$29</f>
        <v>16.842105263157894</v>
      </c>
      <c r="E19" s="52">
        <f>E18/$C$29</f>
        <v>14.210526315789474</v>
      </c>
      <c r="F19" s="46" t="s">
        <v>2</v>
      </c>
      <c r="H19" s="70"/>
      <c r="Z19" s="68">
        <f t="shared" si="4"/>
        <v>96.543126706868776</v>
      </c>
      <c r="AA19" s="53">
        <f t="shared" si="5"/>
        <v>6</v>
      </c>
      <c r="AB19" s="53">
        <f t="shared" si="6"/>
        <v>1.2079465607382722E-2</v>
      </c>
      <c r="AC19" s="53">
        <f t="shared" si="7"/>
        <v>6.0120794656073828</v>
      </c>
      <c r="AD19" s="68">
        <f t="shared" si="8"/>
        <v>11.538842205303718</v>
      </c>
      <c r="AE19" s="69">
        <f t="shared" si="0"/>
        <v>0.59982633790014439</v>
      </c>
      <c r="AF19" s="68">
        <f t="shared" si="9"/>
        <v>1.3988422053037208</v>
      </c>
      <c r="AG19" s="63">
        <f t="shared" si="1"/>
        <v>0.2431987796233368</v>
      </c>
      <c r="AH19" s="68">
        <f t="shared" si="10"/>
        <v>9.6099607986445346</v>
      </c>
      <c r="AI19" s="69">
        <f t="shared" si="2"/>
        <v>0.57719496141031201</v>
      </c>
      <c r="AJ19" s="84">
        <f t="shared" si="3"/>
        <v>18.933463663829048</v>
      </c>
    </row>
    <row r="20" spans="1:36" ht="16.5">
      <c r="A20" s="58" t="s">
        <v>260</v>
      </c>
      <c r="B20" s="72" t="s">
        <v>268</v>
      </c>
      <c r="C20" s="52">
        <f>C19/$C$28</f>
        <v>15.204678362573098</v>
      </c>
      <c r="D20" s="52">
        <f>D19/$C$28</f>
        <v>18.71345029239766</v>
      </c>
      <c r="E20" s="52">
        <f>E19/$C$28</f>
        <v>15.789473684210527</v>
      </c>
      <c r="F20" s="46" t="s">
        <v>2</v>
      </c>
      <c r="H20" s="70"/>
      <c r="Z20" s="68">
        <f t="shared" si="4"/>
        <v>107.27014078540975</v>
      </c>
      <c r="AA20" s="53">
        <f t="shared" si="5"/>
        <v>6</v>
      </c>
      <c r="AB20" s="53">
        <f t="shared" si="6"/>
        <v>1.4912920502941632E-2</v>
      </c>
      <c r="AC20" s="53">
        <f t="shared" si="7"/>
        <v>6.0149129205029412</v>
      </c>
      <c r="AD20" s="68">
        <f t="shared" si="8"/>
        <v>10.716507278084563</v>
      </c>
      <c r="AE20" s="69">
        <f t="shared" si="0"/>
        <v>0.60501155670520834</v>
      </c>
      <c r="AF20" s="68">
        <f t="shared" si="9"/>
        <v>0.57650727808456637</v>
      </c>
      <c r="AG20" s="63">
        <f t="shared" si="1"/>
        <v>0.10843220915497587</v>
      </c>
      <c r="AH20" s="68">
        <f t="shared" si="10"/>
        <v>8.7876258714253801</v>
      </c>
      <c r="AI20" s="69">
        <f t="shared" si="2"/>
        <v>0.57714032479806732</v>
      </c>
      <c r="AJ20" s="84">
        <f t="shared" si="3"/>
        <v>19.539781442200553</v>
      </c>
    </row>
    <row r="21" spans="1:36" ht="16.5">
      <c r="A21" s="58" t="s">
        <v>262</v>
      </c>
      <c r="B21" s="73" t="s">
        <v>269</v>
      </c>
      <c r="C21" s="82">
        <f>C15*C16*g*1000/10^6/C18</f>
        <v>0.633876923076923</v>
      </c>
      <c r="D21" s="82">
        <f>D15*D16*g*1000/10^6/D18</f>
        <v>0.70815937500000015</v>
      </c>
      <c r="E21" s="82">
        <f>E15*E16*g*1000/10^6/E18</f>
        <v>0.6176666666666667</v>
      </c>
      <c r="F21" s="46" t="s">
        <v>154</v>
      </c>
      <c r="H21" s="70"/>
      <c r="Z21" s="68">
        <f t="shared" si="4"/>
        <v>117.99715486395073</v>
      </c>
      <c r="AA21" s="53">
        <f t="shared" si="5"/>
        <v>6</v>
      </c>
      <c r="AB21" s="53">
        <f t="shared" si="6"/>
        <v>1.8044633808559373E-2</v>
      </c>
      <c r="AC21" s="53">
        <f t="shared" si="7"/>
        <v>6.0180446338085591</v>
      </c>
      <c r="AD21" s="68">
        <f t="shared" si="8"/>
        <v>9.8488422053037183</v>
      </c>
      <c r="AE21" s="69">
        <f t="shared" si="0"/>
        <v>0.60484136536816224</v>
      </c>
      <c r="AF21" s="68">
        <f t="shared" si="9"/>
        <v>-0.29115779469627867</v>
      </c>
      <c r="AG21" s="63">
        <f t="shared" si="1"/>
        <v>-5.8692092732020251E-2</v>
      </c>
      <c r="AH21" s="68">
        <f t="shared" si="10"/>
        <v>7.9199607986445342</v>
      </c>
      <c r="AI21" s="69">
        <f t="shared" si="2"/>
        <v>0.5704439949457023</v>
      </c>
      <c r="AJ21" s="84">
        <f t="shared" si="3"/>
        <v>19.985393784690224</v>
      </c>
    </row>
    <row r="22" spans="1:36">
      <c r="B22" s="58"/>
      <c r="H22" s="70"/>
      <c r="Z22" s="68">
        <f t="shared" si="4"/>
        <v>128.7241689424917</v>
      </c>
      <c r="AA22" s="53">
        <f t="shared" si="5"/>
        <v>6</v>
      </c>
      <c r="AB22" s="53">
        <f t="shared" si="6"/>
        <v>2.1474605524235954E-2</v>
      </c>
      <c r="AC22" s="53">
        <f t="shared" si="7"/>
        <v>6.0214746055242356</v>
      </c>
      <c r="AD22" s="68">
        <f t="shared" si="8"/>
        <v>8.935846986961181</v>
      </c>
      <c r="AE22" s="69">
        <f t="shared" si="0"/>
        <v>0.59931576388900609</v>
      </c>
      <c r="AF22" s="68">
        <f t="shared" si="9"/>
        <v>-1.2041530130388161</v>
      </c>
      <c r="AG22" s="63">
        <f t="shared" si="1"/>
        <v>-0.25817412603765133</v>
      </c>
      <c r="AH22" s="68">
        <f t="shared" si="10"/>
        <v>7.0069655803019968</v>
      </c>
      <c r="AI22" s="69">
        <f t="shared" si="2"/>
        <v>0.55710597185321664</v>
      </c>
      <c r="AJ22" s="84">
        <f t="shared" si="3"/>
        <v>20.254755901709661</v>
      </c>
    </row>
    <row r="23" spans="1:36" ht="17.5" thickBot="1">
      <c r="A23" s="57" t="s">
        <v>291</v>
      </c>
      <c r="B23" s="56"/>
      <c r="C23" s="57"/>
      <c r="D23" s="57"/>
      <c r="E23" s="57"/>
      <c r="F23" s="57"/>
      <c r="G23" s="57"/>
      <c r="H23" s="70"/>
      <c r="Z23" s="68">
        <f t="shared" si="4"/>
        <v>139.45118302103268</v>
      </c>
      <c r="AA23" s="53">
        <f t="shared" si="5"/>
        <v>6</v>
      </c>
      <c r="AB23" s="53">
        <f t="shared" si="6"/>
        <v>2.5202835649971361E-2</v>
      </c>
      <c r="AC23" s="53">
        <f t="shared" si="7"/>
        <v>6.0252028356499716</v>
      </c>
      <c r="AD23" s="68">
        <f t="shared" si="8"/>
        <v>7.977521623056953</v>
      </c>
      <c r="AE23" s="69">
        <f t="shared" si="0"/>
        <v>0.58843475226773978</v>
      </c>
      <c r="AF23" s="68">
        <f t="shared" si="9"/>
        <v>-2.162478376943044</v>
      </c>
      <c r="AG23" s="63">
        <f t="shared" si="1"/>
        <v>-0.49001389076191781</v>
      </c>
      <c r="AH23" s="68">
        <f t="shared" si="10"/>
        <v>6.0486402163977688</v>
      </c>
      <c r="AI23" s="69">
        <f t="shared" si="2"/>
        <v>0.53712625552061044</v>
      </c>
      <c r="AJ23" s="84">
        <f t="shared" si="3"/>
        <v>20.318087134338054</v>
      </c>
    </row>
    <row r="24" spans="1:36" ht="15.5" thickTop="1" thickBot="1">
      <c r="A24" s="74" t="s">
        <v>157</v>
      </c>
      <c r="B24" s="48" t="s">
        <v>156</v>
      </c>
      <c r="C24" s="49" t="s">
        <v>166</v>
      </c>
      <c r="D24" s="47" t="s">
        <v>158</v>
      </c>
      <c r="E24" s="105" t="s">
        <v>167</v>
      </c>
      <c r="F24" s="105"/>
      <c r="G24" s="105"/>
      <c r="H24" s="70"/>
      <c r="Z24" s="68">
        <f t="shared" si="4"/>
        <v>150.17819709957365</v>
      </c>
      <c r="AA24" s="53">
        <f t="shared" si="5"/>
        <v>6</v>
      </c>
      <c r="AB24" s="53">
        <f t="shared" si="6"/>
        <v>2.9229324185765595E-2</v>
      </c>
      <c r="AC24" s="53">
        <f t="shared" si="7"/>
        <v>6.0292293241857653</v>
      </c>
      <c r="AD24" s="68">
        <f t="shared" si="8"/>
        <v>6.9738661135910327</v>
      </c>
      <c r="AE24" s="69">
        <f t="shared" si="0"/>
        <v>0.57219833050436331</v>
      </c>
      <c r="AF24" s="68">
        <f t="shared" si="9"/>
        <v>-3.1661338864089643</v>
      </c>
      <c r="AG24" s="63">
        <f t="shared" si="1"/>
        <v>-0.75421138690481992</v>
      </c>
      <c r="AH24" s="68">
        <f t="shared" si="10"/>
        <v>5.0449847069318485</v>
      </c>
      <c r="AI24" s="69">
        <f t="shared" si="2"/>
        <v>0.51050484594788381</v>
      </c>
      <c r="AJ24" s="84">
        <f t="shared" si="3"/>
        <v>20.125636764327474</v>
      </c>
    </row>
    <row r="25" spans="1:36" ht="16.5">
      <c r="A25" s="65" t="s">
        <v>273</v>
      </c>
      <c r="B25" s="66" t="s">
        <v>281</v>
      </c>
      <c r="C25" s="91">
        <v>1</v>
      </c>
      <c r="D25" s="46" t="s">
        <v>154</v>
      </c>
      <c r="E25" s="103"/>
      <c r="F25" s="103"/>
      <c r="G25" s="103"/>
      <c r="H25" s="70"/>
      <c r="Z25" s="68">
        <f t="shared" si="4"/>
        <v>160.90521117811463</v>
      </c>
      <c r="AA25" s="53">
        <f t="shared" si="5"/>
        <v>6</v>
      </c>
      <c r="AB25" s="53">
        <f t="shared" si="6"/>
        <v>3.3554071131618672E-2</v>
      </c>
      <c r="AC25" s="53">
        <f t="shared" si="7"/>
        <v>6.0335540711316185</v>
      </c>
      <c r="AD25" s="68">
        <f t="shared" si="8"/>
        <v>5.9248804585634236</v>
      </c>
      <c r="AE25" s="69">
        <f t="shared" si="0"/>
        <v>0.55060649859887689</v>
      </c>
      <c r="AF25" s="68">
        <f t="shared" si="9"/>
        <v>-4.2151195414365734</v>
      </c>
      <c r="AG25" s="63">
        <f t="shared" si="1"/>
        <v>-1.0507666144663563</v>
      </c>
      <c r="AH25" s="68">
        <f t="shared" si="10"/>
        <v>3.9959990519042394</v>
      </c>
      <c r="AI25" s="69">
        <f t="shared" si="2"/>
        <v>0.47724174313503698</v>
      </c>
      <c r="AJ25" s="84">
        <f t="shared" si="3"/>
        <v>19.596580059410094</v>
      </c>
    </row>
    <row r="26" spans="1:36" ht="16.5">
      <c r="A26" s="65" t="s">
        <v>381</v>
      </c>
      <c r="B26" s="66" t="s">
        <v>279</v>
      </c>
      <c r="C26" s="90">
        <v>0</v>
      </c>
      <c r="D26" s="46" t="s">
        <v>154</v>
      </c>
      <c r="E26" s="103"/>
      <c r="F26" s="103"/>
      <c r="G26" s="103"/>
      <c r="H26" s="70"/>
      <c r="Z26" s="68">
        <f t="shared" si="4"/>
        <v>171.6322252566556</v>
      </c>
      <c r="AA26" s="53">
        <f t="shared" si="5"/>
        <v>6</v>
      </c>
      <c r="AB26" s="53">
        <f t="shared" si="6"/>
        <v>3.8177076487530576E-2</v>
      </c>
      <c r="AC26" s="53">
        <f t="shared" si="7"/>
        <v>6.0381770764875302</v>
      </c>
      <c r="AD26" s="68">
        <f t="shared" si="8"/>
        <v>4.8305646579741222</v>
      </c>
      <c r="AE26" s="69">
        <f t="shared" si="0"/>
        <v>0.52365925655128043</v>
      </c>
      <c r="AF26" s="68">
        <f t="shared" si="9"/>
        <v>-5.3094353420258749</v>
      </c>
      <c r="AG26" s="63">
        <f t="shared" si="1"/>
        <v>-1.3796795734465293</v>
      </c>
      <c r="AH26" s="68">
        <f t="shared" si="10"/>
        <v>2.901683251314938</v>
      </c>
      <c r="AI26" s="69">
        <f t="shared" si="2"/>
        <v>0.43733694708206938</v>
      </c>
      <c r="AJ26" s="84">
        <f t="shared" si="3"/>
        <v>18.597286057179076</v>
      </c>
    </row>
    <row r="27" spans="1:36" ht="16.5">
      <c r="A27" s="65" t="s">
        <v>380</v>
      </c>
      <c r="B27" s="66" t="s">
        <v>280</v>
      </c>
      <c r="C27" s="90">
        <v>0</v>
      </c>
      <c r="D27" s="46" t="s">
        <v>154</v>
      </c>
      <c r="E27" s="103"/>
      <c r="F27" s="103"/>
      <c r="G27" s="103"/>
      <c r="H27" s="70"/>
      <c r="Z27" s="68">
        <f t="shared" si="4"/>
        <v>182.35923933519658</v>
      </c>
      <c r="AA27" s="53">
        <f t="shared" si="5"/>
        <v>6</v>
      </c>
      <c r="AB27" s="53">
        <f t="shared" si="6"/>
        <v>4.3098340253501323E-2</v>
      </c>
      <c r="AC27" s="53">
        <f t="shared" si="7"/>
        <v>6.0430983402535015</v>
      </c>
      <c r="AD27" s="68">
        <f t="shared" si="8"/>
        <v>3.6909187118231266</v>
      </c>
      <c r="AE27" s="69">
        <f t="shared" si="0"/>
        <v>0.49135660436157369</v>
      </c>
      <c r="AF27" s="68">
        <f t="shared" si="9"/>
        <v>-6.4490812881768704</v>
      </c>
      <c r="AG27" s="63">
        <f t="shared" si="1"/>
        <v>-1.7409502638453369</v>
      </c>
      <c r="AH27" s="68">
        <f t="shared" si="10"/>
        <v>1.7620373051639426</v>
      </c>
      <c r="AI27" s="69">
        <f t="shared" si="2"/>
        <v>0.39079045778898125</v>
      </c>
      <c r="AJ27" s="84">
        <f t="shared" si="3"/>
        <v>16.896132598167558</v>
      </c>
    </row>
    <row r="28" spans="1:36" ht="16.5">
      <c r="A28" s="65" t="s">
        <v>274</v>
      </c>
      <c r="B28" s="67" t="s">
        <v>282</v>
      </c>
      <c r="C28" s="92">
        <v>0.9</v>
      </c>
      <c r="D28" s="46" t="s">
        <v>154</v>
      </c>
      <c r="E28" s="103"/>
      <c r="F28" s="103"/>
      <c r="G28" s="103"/>
      <c r="H28" s="70"/>
      <c r="Z28" s="68">
        <f t="shared" si="4"/>
        <v>193.08625341373755</v>
      </c>
      <c r="AA28" s="53">
        <f t="shared" si="5"/>
        <v>6</v>
      </c>
      <c r="AB28" s="53">
        <f t="shared" si="6"/>
        <v>4.8317862429530886E-2</v>
      </c>
      <c r="AC28" s="53">
        <f t="shared" si="7"/>
        <v>6.0483178624295313</v>
      </c>
      <c r="AD28" s="68">
        <f t="shared" si="8"/>
        <v>2.505942620110444</v>
      </c>
      <c r="AE28" s="69">
        <f t="shared" si="0"/>
        <v>0.45369854202975701</v>
      </c>
      <c r="AF28" s="68">
        <f t="shared" si="9"/>
        <v>-7.634057379889553</v>
      </c>
      <c r="AG28" s="63">
        <f t="shared" si="1"/>
        <v>-2.1345786856627793</v>
      </c>
      <c r="AH28" s="68">
        <f t="shared" si="10"/>
        <v>0.57706121345126005</v>
      </c>
      <c r="AI28" s="69">
        <f t="shared" si="2"/>
        <v>0.3376022752557728</v>
      </c>
      <c r="AJ28" s="84">
        <f t="shared" si="3"/>
        <v>14.06002590069518</v>
      </c>
    </row>
    <row r="29" spans="1:36" ht="16.5">
      <c r="A29" s="65" t="s">
        <v>275</v>
      </c>
      <c r="B29" s="67" t="s">
        <v>283</v>
      </c>
      <c r="C29" s="92">
        <v>0.95</v>
      </c>
      <c r="D29" s="46" t="s">
        <v>154</v>
      </c>
      <c r="E29" s="103"/>
      <c r="F29" s="103"/>
      <c r="G29" s="103"/>
      <c r="H29" s="70"/>
      <c r="Z29" s="68">
        <f t="shared" si="4"/>
        <v>203.81326749227853</v>
      </c>
      <c r="AA29" s="53">
        <f t="shared" si="5"/>
        <v>6</v>
      </c>
      <c r="AB29" s="53">
        <f t="shared" si="6"/>
        <v>5.38356430156193E-2</v>
      </c>
      <c r="AC29" s="53">
        <f t="shared" si="7"/>
        <v>6.0538356430156197</v>
      </c>
      <c r="AD29" s="68">
        <f t="shared" si="8"/>
        <v>1.2756363828360691</v>
      </c>
      <c r="AE29" s="69">
        <f t="shared" si="0"/>
        <v>0.41068506955583028</v>
      </c>
      <c r="AF29" s="68">
        <f t="shared" si="9"/>
        <v>-8.864363617163928</v>
      </c>
      <c r="AG29" s="63">
        <f t="shared" si="1"/>
        <v>-2.5605648388988573</v>
      </c>
      <c r="AH29" s="68">
        <f t="shared" si="10"/>
        <v>-0.65324502382311489</v>
      </c>
      <c r="AI29" s="69">
        <f t="shared" si="2"/>
        <v>0.2777723994824437</v>
      </c>
      <c r="AJ29" s="84" t="str">
        <f t="shared" si="3"/>
        <v/>
      </c>
    </row>
    <row r="30" spans="1:36" ht="16.5">
      <c r="A30" s="67" t="s">
        <v>276</v>
      </c>
      <c r="B30" s="67" t="s">
        <v>284</v>
      </c>
      <c r="C30" s="92">
        <v>0.05</v>
      </c>
      <c r="D30" s="46" t="s">
        <v>154</v>
      </c>
      <c r="E30" s="103"/>
      <c r="F30" s="103"/>
      <c r="G30" s="103"/>
      <c r="Z30" s="68">
        <f>(-C64-SQRT(C64^2-4*C63*C65))/(2*C63)</f>
        <v>214.5402815708195</v>
      </c>
      <c r="AA30" s="53">
        <f t="shared" si="5"/>
        <v>6</v>
      </c>
      <c r="AB30" s="53">
        <f>$C$5*(Z30/($C$3/(24*3.6)))^2</f>
        <v>5.965168201176653E-2</v>
      </c>
      <c r="AC30" s="53">
        <f t="shared" si="7"/>
        <v>6.0596516820117667</v>
      </c>
      <c r="AD30" s="68">
        <f t="shared" si="8"/>
        <v>0</v>
      </c>
      <c r="AE30" s="69">
        <f t="shared" si="0"/>
        <v>0.36231618693979339</v>
      </c>
      <c r="AF30" s="68">
        <f t="shared" si="9"/>
        <v>-10.139999999999997</v>
      </c>
      <c r="AG30" s="63">
        <f t="shared" si="1"/>
        <v>-3.0189087235535705</v>
      </c>
      <c r="AH30" s="68">
        <f t="shared" si="10"/>
        <v>-1.928881406659184</v>
      </c>
      <c r="AI30" s="69">
        <f t="shared" si="2"/>
        <v>0.21130083046899428</v>
      </c>
      <c r="AJ30" s="84" t="str">
        <f t="shared" si="3"/>
        <v/>
      </c>
    </row>
    <row r="31" spans="1:36" ht="16.5">
      <c r="A31" s="67" t="s">
        <v>277</v>
      </c>
      <c r="B31" s="67" t="s">
        <v>285</v>
      </c>
      <c r="C31" s="92">
        <v>0.05</v>
      </c>
      <c r="D31" s="46" t="s">
        <v>154</v>
      </c>
      <c r="E31" s="103"/>
      <c r="F31" s="103"/>
      <c r="G31" s="103"/>
    </row>
    <row r="32" spans="1:36" ht="16.5">
      <c r="A32" s="67" t="s">
        <v>278</v>
      </c>
      <c r="B32" s="67" t="s">
        <v>286</v>
      </c>
      <c r="C32" s="92">
        <v>0.1</v>
      </c>
      <c r="D32" s="46" t="s">
        <v>154</v>
      </c>
      <c r="E32" s="103"/>
      <c r="F32" s="103"/>
      <c r="G32" s="103"/>
      <c r="AG32" s="61">
        <v>0.5</v>
      </c>
      <c r="AH32" s="61">
        <f>AH33*$AG$32</f>
        <v>0.38948765625000009</v>
      </c>
      <c r="AI32" s="61">
        <f>AI33*$AG$32</f>
        <v>0.49874999999999997</v>
      </c>
      <c r="AJ32" s="61">
        <f>AJ33*$AG$32</f>
        <v>0.47250000000000003</v>
      </c>
    </row>
    <row r="33" spans="1:36">
      <c r="B33" s="73"/>
      <c r="C33" s="60"/>
      <c r="D33" s="60"/>
      <c r="E33" s="60"/>
      <c r="F33" s="60"/>
      <c r="AG33" s="46" t="s">
        <v>246</v>
      </c>
      <c r="AH33" s="62">
        <f>D21*(AG40+C32)/AG40</f>
        <v>0.77897531250000018</v>
      </c>
      <c r="AI33" s="62">
        <f>C29*(AG40+C31)/AG40</f>
        <v>0.99749999999999994</v>
      </c>
      <c r="AJ33" s="62">
        <f>C28*(AG40+C30)/AG40</f>
        <v>0.94500000000000006</v>
      </c>
    </row>
    <row r="34" spans="1:36" ht="17.5" thickBot="1">
      <c r="A34" s="109" t="s">
        <v>292</v>
      </c>
      <c r="B34" s="109"/>
      <c r="C34" s="109"/>
      <c r="D34" s="109"/>
      <c r="E34" s="57"/>
      <c r="F34" s="57"/>
      <c r="G34" s="57"/>
      <c r="AG34" s="59" t="s">
        <v>247</v>
      </c>
      <c r="AH34" s="59" t="s">
        <v>248</v>
      </c>
      <c r="AI34" s="59" t="s">
        <v>249</v>
      </c>
      <c r="AJ34" s="59" t="s">
        <v>250</v>
      </c>
    </row>
    <row r="35" spans="1:36" ht="15.5" thickTop="1" thickBot="1">
      <c r="A35" s="74" t="s">
        <v>157</v>
      </c>
      <c r="B35" s="48" t="s">
        <v>156</v>
      </c>
      <c r="C35" s="49" t="s">
        <v>166</v>
      </c>
      <c r="D35" s="47" t="s">
        <v>158</v>
      </c>
      <c r="E35" s="105" t="s">
        <v>167</v>
      </c>
      <c r="F35" s="105"/>
      <c r="G35" s="105"/>
      <c r="AG35" s="62">
        <f>C36</f>
        <v>0.4</v>
      </c>
      <c r="AH35" s="64">
        <f t="shared" ref="AH35:AH41" si="11">AH$33*$AG35/($AG35+$C$32)</f>
        <v>0.62318025000000021</v>
      </c>
      <c r="AI35" s="64">
        <f t="shared" ref="AI35:AI41" si="12">AI$33*$AG35/($AG35+$C$31)</f>
        <v>0.88666666666666671</v>
      </c>
      <c r="AJ35" s="64">
        <f t="shared" ref="AJ35:AJ41" si="13">AJ$33*$AG35/($AG35+$C$30)</f>
        <v>0.84000000000000008</v>
      </c>
    </row>
    <row r="36" spans="1:36" ht="16.5">
      <c r="A36" s="65" t="s">
        <v>273</v>
      </c>
      <c r="B36" s="66" t="s">
        <v>281</v>
      </c>
      <c r="C36" s="91">
        <v>0.4</v>
      </c>
      <c r="D36" s="46" t="s">
        <v>154</v>
      </c>
      <c r="E36" s="103"/>
      <c r="F36" s="103"/>
      <c r="G36" s="103"/>
      <c r="AG36" s="62">
        <f>($AG$40-$AG$35)/5+AG35</f>
        <v>0.52</v>
      </c>
      <c r="AH36" s="64">
        <f t="shared" si="11"/>
        <v>0.65333413306451638</v>
      </c>
      <c r="AI36" s="64">
        <f t="shared" si="12"/>
        <v>0.90999999999999981</v>
      </c>
      <c r="AJ36" s="64">
        <f t="shared" si="13"/>
        <v>0.86210526315789471</v>
      </c>
    </row>
    <row r="37" spans="1:36" ht="16.5">
      <c r="A37" s="65" t="s">
        <v>274</v>
      </c>
      <c r="B37" s="67" t="s">
        <v>282</v>
      </c>
      <c r="C37" s="82">
        <f>D57/D58</f>
        <v>0.75881639812245649</v>
      </c>
      <c r="D37" s="46" t="s">
        <v>154</v>
      </c>
      <c r="E37" s="103"/>
      <c r="F37" s="103"/>
      <c r="G37" s="103"/>
      <c r="AG37" s="62">
        <f>($AG$40-$AG$35)/5+AG36</f>
        <v>0.64</v>
      </c>
      <c r="AH37" s="64">
        <f t="shared" si="11"/>
        <v>0.67370837837837849</v>
      </c>
      <c r="AI37" s="64">
        <f t="shared" si="12"/>
        <v>0.92521739130434766</v>
      </c>
      <c r="AJ37" s="64">
        <f t="shared" si="13"/>
        <v>0.87652173913043474</v>
      </c>
    </row>
    <row r="38" spans="1:36" ht="16.5">
      <c r="A38" s="65" t="s">
        <v>275</v>
      </c>
      <c r="B38" s="67" t="s">
        <v>283</v>
      </c>
      <c r="C38" s="82">
        <f>D56/D57</f>
        <v>0.85697117100600706</v>
      </c>
      <c r="D38" s="46" t="s">
        <v>154</v>
      </c>
      <c r="E38" s="103"/>
      <c r="F38" s="103"/>
      <c r="G38" s="103"/>
      <c r="AG38" s="62">
        <f>($AG$40-$AG$35)/5+AG37</f>
        <v>0.76</v>
      </c>
      <c r="AH38" s="64">
        <f t="shared" si="11"/>
        <v>0.6883967877906978</v>
      </c>
      <c r="AI38" s="64">
        <f t="shared" si="12"/>
        <v>0.93592592592592583</v>
      </c>
      <c r="AJ38" s="64">
        <f t="shared" si="13"/>
        <v>0.88666666666666671</v>
      </c>
    </row>
    <row r="39" spans="1:36">
      <c r="B39" s="73"/>
      <c r="C39" s="58"/>
      <c r="D39" s="58"/>
      <c r="AG39" s="62">
        <f>($AG$40-$AG$35)/5+AG38</f>
        <v>0.88</v>
      </c>
      <c r="AH39" s="64">
        <f t="shared" si="11"/>
        <v>0.69948803571428586</v>
      </c>
      <c r="AI39" s="64">
        <f t="shared" si="12"/>
        <v>0.94387096774193535</v>
      </c>
      <c r="AJ39" s="64">
        <f t="shared" si="13"/>
        <v>0.89419354838709675</v>
      </c>
    </row>
    <row r="40" spans="1:36" ht="17.5" thickBot="1">
      <c r="A40" s="109" t="s">
        <v>332</v>
      </c>
      <c r="B40" s="109"/>
      <c r="C40" s="109"/>
      <c r="D40" s="109"/>
      <c r="E40" s="101"/>
      <c r="F40" s="111"/>
      <c r="G40" s="111"/>
      <c r="AG40" s="62">
        <f>C25</f>
        <v>1</v>
      </c>
      <c r="AH40" s="64">
        <f t="shared" si="11"/>
        <v>0.70815937500000015</v>
      </c>
      <c r="AI40" s="64">
        <f t="shared" si="12"/>
        <v>0.95</v>
      </c>
      <c r="AJ40" s="64">
        <f t="shared" si="13"/>
        <v>0.9</v>
      </c>
    </row>
    <row r="41" spans="1:36" ht="15.5" thickTop="1" thickBot="1">
      <c r="A41" s="74" t="s">
        <v>157</v>
      </c>
      <c r="B41" s="48" t="s">
        <v>156</v>
      </c>
      <c r="C41" s="49" t="s">
        <v>166</v>
      </c>
      <c r="D41" s="74" t="s">
        <v>158</v>
      </c>
      <c r="E41" s="105" t="s">
        <v>167</v>
      </c>
      <c r="F41" s="105"/>
      <c r="G41" s="105"/>
      <c r="AG41" s="61">
        <v>0.5</v>
      </c>
      <c r="AH41" s="64">
        <f t="shared" si="11"/>
        <v>0.64914609375000021</v>
      </c>
      <c r="AI41" s="64">
        <f t="shared" si="12"/>
        <v>0.90681818181818175</v>
      </c>
      <c r="AJ41" s="64">
        <f t="shared" si="13"/>
        <v>0.85909090909090913</v>
      </c>
    </row>
    <row r="42" spans="1:36" ht="16.5">
      <c r="A42" s="83" t="s">
        <v>327</v>
      </c>
      <c r="B42" s="58" t="s">
        <v>328</v>
      </c>
      <c r="C42" s="82">
        <f>C25-((C6-C63*C9^2-C64*C9-C65)/(-C67)/C84)</f>
        <v>0.88586500552312519</v>
      </c>
      <c r="D42" s="78" t="s">
        <v>154</v>
      </c>
      <c r="E42" s="103"/>
      <c r="F42" s="103"/>
      <c r="G42" s="103"/>
      <c r="Y42" s="58"/>
    </row>
    <row r="43" spans="1:36" ht="17">
      <c r="A43" s="58" t="s">
        <v>339</v>
      </c>
      <c r="B43" s="72" t="s">
        <v>336</v>
      </c>
      <c r="C43" s="86">
        <f>(0-0)/((E93-E94)*(E93-E91))-(E92-0)/((E91-E94)*(E93-E91))</f>
        <v>-2.8859653739514812E-5</v>
      </c>
      <c r="D43" s="78" t="s">
        <v>154</v>
      </c>
      <c r="E43" s="103"/>
      <c r="F43" s="103"/>
      <c r="G43" s="103"/>
      <c r="Y43" s="58"/>
    </row>
    <row r="44" spans="1:36" ht="17">
      <c r="A44" s="58" t="s">
        <v>340</v>
      </c>
      <c r="B44" s="72" t="s">
        <v>337</v>
      </c>
      <c r="C44" s="86">
        <f>(E92-0)/(E91-E94)-(E91+E94)*C43</f>
        <v>5.8768869610241348E-3</v>
      </c>
      <c r="D44" s="78" t="s">
        <v>154</v>
      </c>
      <c r="E44" s="103"/>
      <c r="F44" s="103"/>
      <c r="G44" s="103"/>
      <c r="Y44" s="58"/>
    </row>
    <row r="45" spans="1:36" ht="17">
      <c r="A45" s="58" t="s">
        <v>341</v>
      </c>
      <c r="B45" s="72" t="s">
        <v>338</v>
      </c>
      <c r="C45" s="82">
        <f>0-E94^2*C43-E94*C44</f>
        <v>0.27881049511509315</v>
      </c>
      <c r="D45" s="58" t="s">
        <v>154</v>
      </c>
      <c r="E45" s="103"/>
      <c r="F45" s="103"/>
      <c r="G45" s="103"/>
      <c r="Y45" s="58"/>
    </row>
    <row r="46" spans="1:36" ht="16.5">
      <c r="A46" s="83" t="s">
        <v>329</v>
      </c>
      <c r="B46" s="38" t="s">
        <v>335</v>
      </c>
      <c r="C46" s="52">
        <f>+C6</f>
        <v>6.1</v>
      </c>
      <c r="D46" s="78" t="s">
        <v>0</v>
      </c>
      <c r="E46" s="103"/>
      <c r="F46" s="103"/>
      <c r="G46" s="103"/>
      <c r="Y46" s="58"/>
    </row>
    <row r="47" spans="1:36" ht="16.5">
      <c r="A47" s="83" t="s">
        <v>330</v>
      </c>
      <c r="B47" s="58" t="s">
        <v>294</v>
      </c>
      <c r="C47" s="52">
        <f>+C9</f>
        <v>138.88888888888889</v>
      </c>
      <c r="D47" s="78" t="s">
        <v>1</v>
      </c>
      <c r="E47" s="103"/>
      <c r="F47" s="103"/>
      <c r="G47" s="103"/>
      <c r="Y47" s="58"/>
    </row>
    <row r="48" spans="1:36" ht="16.5">
      <c r="A48" s="83" t="s">
        <v>331</v>
      </c>
      <c r="B48" s="67" t="s">
        <v>334</v>
      </c>
      <c r="C48" s="82">
        <f>C47^2*$C$43+C47*$C$44+$C$45</f>
        <v>0.53833851170187863</v>
      </c>
      <c r="D48" s="78" t="s">
        <v>154</v>
      </c>
      <c r="E48" s="103"/>
      <c r="F48" s="103"/>
      <c r="G48" s="103"/>
      <c r="Y48" s="58"/>
    </row>
    <row r="49" spans="1:25" ht="16.5">
      <c r="A49" s="83" t="s">
        <v>333</v>
      </c>
      <c r="B49" s="58" t="s">
        <v>204</v>
      </c>
      <c r="C49" s="52">
        <f>C47*C46*dw*g/10^6/C48</f>
        <v>15.438705980230162</v>
      </c>
      <c r="D49" s="78" t="s">
        <v>2</v>
      </c>
      <c r="E49" s="103"/>
      <c r="F49" s="103"/>
      <c r="G49" s="103"/>
      <c r="Y49" s="58"/>
    </row>
    <row r="51" spans="1:25" ht="17.5" thickBot="1">
      <c r="A51" s="109" t="s">
        <v>293</v>
      </c>
      <c r="B51" s="109"/>
      <c r="C51" s="109"/>
      <c r="D51" s="109"/>
      <c r="E51" s="57"/>
      <c r="F51" s="57"/>
      <c r="G51" s="57"/>
    </row>
    <row r="52" spans="1:25" ht="15.5" thickTop="1" thickBot="1">
      <c r="A52" s="74" t="s">
        <v>157</v>
      </c>
      <c r="B52" s="48" t="s">
        <v>156</v>
      </c>
      <c r="C52" s="49" t="s">
        <v>253</v>
      </c>
      <c r="D52" s="49" t="s">
        <v>254</v>
      </c>
      <c r="E52" s="49" t="s">
        <v>255</v>
      </c>
      <c r="F52" s="47" t="s">
        <v>158</v>
      </c>
      <c r="G52" s="47" t="s">
        <v>167</v>
      </c>
    </row>
    <row r="53" spans="1:25" ht="16.5">
      <c r="A53" s="58" t="s">
        <v>256</v>
      </c>
      <c r="B53" s="72" t="s">
        <v>270</v>
      </c>
      <c r="C53" s="52">
        <v>0</v>
      </c>
      <c r="D53" s="52">
        <f>E53/2</f>
        <v>57.229740918657917</v>
      </c>
      <c r="E53" s="52">
        <f>(-C64-SQRT(C64^2-4*C63*C65*C36))/2/C63</f>
        <v>114.45948183731583</v>
      </c>
      <c r="F53" s="46" t="s">
        <v>1</v>
      </c>
    </row>
    <row r="54" spans="1:25" ht="16.5">
      <c r="A54" s="58" t="s">
        <v>257</v>
      </c>
      <c r="B54" s="72" t="s">
        <v>264</v>
      </c>
      <c r="C54" s="52">
        <f>$C$63*C53^2+$C$64*C53+$C$65-(C67)*C84*(1-C36)</f>
        <v>6.76</v>
      </c>
      <c r="D54" s="52">
        <f>D53^2*C63+D53*C64+C65*C36</f>
        <v>4.025123669591169</v>
      </c>
      <c r="E54" s="52">
        <f>$C$63*E53^2+$C$64*E53+$C$65-(C67)*C84*(1-C36)</f>
        <v>0</v>
      </c>
      <c r="F54" s="46" t="s">
        <v>0</v>
      </c>
    </row>
    <row r="55" spans="1:25" ht="16.5">
      <c r="A55" s="58" t="s">
        <v>261</v>
      </c>
      <c r="B55" s="73" t="s">
        <v>263</v>
      </c>
      <c r="C55" s="52">
        <v>0</v>
      </c>
      <c r="D55" s="82">
        <f>D53*D54*dw*g/10^6/(D58)</f>
        <v>0.46050455328951762</v>
      </c>
      <c r="E55" s="52">
        <v>0</v>
      </c>
      <c r="F55" s="46" t="s">
        <v>154</v>
      </c>
    </row>
    <row r="56" spans="1:25" ht="16.5">
      <c r="A56" s="58" t="s">
        <v>259</v>
      </c>
      <c r="B56" s="72" t="s">
        <v>266</v>
      </c>
      <c r="D56" s="52">
        <f>D53*D54*g*1000/10^6/D21</f>
        <v>3.1910896592382367</v>
      </c>
      <c r="F56" s="46" t="s">
        <v>2</v>
      </c>
      <c r="L56" s="42"/>
      <c r="M56" s="42"/>
    </row>
    <row r="57" spans="1:25" ht="16.5">
      <c r="A57" s="58" t="s">
        <v>258</v>
      </c>
      <c r="B57" s="72" t="s">
        <v>267</v>
      </c>
      <c r="D57" s="52">
        <f>(D19-D18)*SQRT($C$36)+D56</f>
        <v>3.723683791477121</v>
      </c>
      <c r="F57" s="46" t="s">
        <v>2</v>
      </c>
    </row>
    <row r="58" spans="1:25" ht="16.5">
      <c r="A58" s="58" t="s">
        <v>260</v>
      </c>
      <c r="B58" s="72" t="s">
        <v>268</v>
      </c>
      <c r="D58" s="52">
        <f>(D20-D19)*SQRT($C$36)+D57</f>
        <v>4.9072263075635316</v>
      </c>
      <c r="F58" s="46" t="s">
        <v>2</v>
      </c>
    </row>
    <row r="59" spans="1:25" ht="16.5">
      <c r="A59" s="58" t="s">
        <v>262</v>
      </c>
      <c r="B59" s="73" t="s">
        <v>269</v>
      </c>
      <c r="D59" s="82">
        <f>D53*D54*g*1000/10^6/D56</f>
        <v>0.70815937500000015</v>
      </c>
      <c r="F59" s="46" t="s">
        <v>154</v>
      </c>
    </row>
    <row r="60" spans="1:25">
      <c r="B60" s="73"/>
    </row>
    <row r="61" spans="1:25" ht="20.5" thickBot="1">
      <c r="A61" s="109" t="s">
        <v>271</v>
      </c>
      <c r="B61" s="109"/>
      <c r="C61" s="109"/>
      <c r="D61" s="109"/>
      <c r="E61" s="106" t="s">
        <v>385</v>
      </c>
      <c r="F61" s="106"/>
      <c r="G61" s="106"/>
    </row>
    <row r="62" spans="1:25" ht="15.5" thickTop="1" thickBot="1">
      <c r="A62" s="74" t="s">
        <v>157</v>
      </c>
      <c r="B62" s="48" t="s">
        <v>156</v>
      </c>
      <c r="C62" s="49" t="s">
        <v>166</v>
      </c>
      <c r="D62" s="47" t="s">
        <v>158</v>
      </c>
      <c r="E62" s="105" t="s">
        <v>167</v>
      </c>
      <c r="F62" s="105"/>
      <c r="G62" s="105"/>
    </row>
    <row r="63" spans="1:25" ht="16.5">
      <c r="A63" s="58" t="s">
        <v>301</v>
      </c>
      <c r="B63" s="72" t="s">
        <v>382</v>
      </c>
      <c r="C63" s="86">
        <f>(E16-C16)/((E15-C15)*(E15-D15))-(D16-C16)/((D15-C15)*(E15-D15))</f>
        <v>-1.9696969696969698E-4</v>
      </c>
      <c r="D63" s="58" t="s">
        <v>154</v>
      </c>
      <c r="E63" s="103"/>
      <c r="F63" s="103"/>
      <c r="G63" s="103"/>
    </row>
    <row r="64" spans="1:25" ht="16.5">
      <c r="A64" s="58" t="s">
        <v>302</v>
      </c>
      <c r="B64" s="72" t="s">
        <v>383</v>
      </c>
      <c r="C64" s="86">
        <f>((D16-C16)/(D15-C15)-(D15+C15)*C63)*(1+$C$26)</f>
        <v>-3.6515151515151521E-2</v>
      </c>
      <c r="D64" s="58" t="s">
        <v>154</v>
      </c>
      <c r="E64" s="103"/>
      <c r="F64" s="103"/>
      <c r="G64" s="103"/>
    </row>
    <row r="65" spans="1:30" ht="16.5">
      <c r="A65" s="58" t="s">
        <v>303</v>
      </c>
      <c r="B65" s="72" t="s">
        <v>384</v>
      </c>
      <c r="C65" s="52">
        <f>(C16-C15^2*C63-C15*C64)*(1-C27)</f>
        <v>16.899999999999999</v>
      </c>
      <c r="D65" s="58" t="s">
        <v>0</v>
      </c>
      <c r="E65" s="103"/>
      <c r="F65" s="103"/>
      <c r="G65" s="103"/>
    </row>
    <row r="66" spans="1:30" ht="16.5">
      <c r="A66" s="58" t="s">
        <v>368</v>
      </c>
      <c r="B66" s="72" t="s">
        <v>314</v>
      </c>
      <c r="C66" s="52">
        <f>-C64/2/C63</f>
        <v>-92.692307692307708</v>
      </c>
      <c r="D66" s="58" t="s">
        <v>1</v>
      </c>
      <c r="E66" s="103" t="s">
        <v>307</v>
      </c>
      <c r="F66" s="103"/>
      <c r="G66" s="103"/>
      <c r="AD66" s="53"/>
    </row>
    <row r="67" spans="1:30" ht="16.5">
      <c r="A67" s="58" t="s">
        <v>369</v>
      </c>
      <c r="B67" s="72" t="s">
        <v>178</v>
      </c>
      <c r="C67" s="52">
        <f>C63*C66^2+C64*C66+C65</f>
        <v>18.592336829836828</v>
      </c>
      <c r="D67" s="58" t="s">
        <v>0</v>
      </c>
      <c r="E67" s="103" t="s">
        <v>308</v>
      </c>
      <c r="F67" s="103"/>
      <c r="G67" s="103"/>
      <c r="O67" s="42"/>
      <c r="P67" s="42"/>
    </row>
    <row r="68" spans="1:30">
      <c r="C68" s="58"/>
      <c r="D68" s="58"/>
    </row>
    <row r="69" spans="1:30" ht="20.5" thickBot="1">
      <c r="A69" s="109" t="s">
        <v>272</v>
      </c>
      <c r="B69" s="109"/>
      <c r="C69" s="109"/>
      <c r="D69" s="109"/>
      <c r="E69" s="107" t="s">
        <v>313</v>
      </c>
      <c r="F69" s="106"/>
      <c r="G69" s="106"/>
    </row>
    <row r="70" spans="1:30" ht="15.5" thickTop="1" thickBot="1">
      <c r="A70" s="74" t="s">
        <v>157</v>
      </c>
      <c r="B70" s="48" t="s">
        <v>156</v>
      </c>
      <c r="C70" s="49" t="s">
        <v>166</v>
      </c>
      <c r="D70" s="74" t="s">
        <v>158</v>
      </c>
      <c r="E70" s="105" t="s">
        <v>167</v>
      </c>
      <c r="F70" s="105"/>
      <c r="G70" s="105"/>
    </row>
    <row r="71" spans="1:30" ht="17">
      <c r="A71" s="58" t="s">
        <v>304</v>
      </c>
      <c r="B71" s="72" t="s">
        <v>310</v>
      </c>
      <c r="C71" s="86">
        <f>(E17-C17)/((E15-C15)*(E15-D15))-(D17-C17)/((D15-C15)*(E15-D15))</f>
        <v>-2.3270463833041978E-5</v>
      </c>
      <c r="D71" s="58" t="s">
        <v>154</v>
      </c>
      <c r="E71" s="103"/>
      <c r="F71" s="103"/>
      <c r="G71" s="103"/>
    </row>
    <row r="72" spans="1:30" ht="17">
      <c r="A72" s="58" t="s">
        <v>305</v>
      </c>
      <c r="B72" s="72" t="s">
        <v>311</v>
      </c>
      <c r="C72" s="86">
        <f>((D17-C17)/(D15-C15)-(D15+C15)*C71)*(1-$C$26)</f>
        <v>5.2262087795017526E-3</v>
      </c>
      <c r="D72" s="58" t="s">
        <v>154</v>
      </c>
      <c r="E72" s="103"/>
      <c r="F72" s="103"/>
      <c r="G72" s="103"/>
    </row>
    <row r="73" spans="1:30" ht="17">
      <c r="A73" s="58" t="s">
        <v>306</v>
      </c>
      <c r="B73" s="72" t="s">
        <v>312</v>
      </c>
      <c r="C73" s="82">
        <f>C17-C15^2*C71-C15*C72</f>
        <v>0.3121659122596151</v>
      </c>
      <c r="D73" s="58" t="s">
        <v>154</v>
      </c>
      <c r="E73" s="103"/>
      <c r="F73" s="103"/>
      <c r="G73" s="103"/>
    </row>
    <row r="74" spans="1:30" ht="17">
      <c r="A74" s="58" t="s">
        <v>226</v>
      </c>
      <c r="B74" s="72" t="s">
        <v>196</v>
      </c>
      <c r="C74" s="52">
        <f>-C72/2/C71</f>
        <v>112.29275052268197</v>
      </c>
      <c r="D74" s="58" t="s">
        <v>1</v>
      </c>
      <c r="E74" s="103" t="s">
        <v>307</v>
      </c>
      <c r="F74" s="103"/>
      <c r="G74" s="103"/>
    </row>
    <row r="75" spans="1:30" ht="16.5">
      <c r="A75" s="58" t="s">
        <v>309</v>
      </c>
      <c r="B75" s="67" t="s">
        <v>251</v>
      </c>
      <c r="C75" s="82">
        <f>C71*C74^2+C72*C74+C73</f>
        <v>0.6055985915876354</v>
      </c>
      <c r="D75" s="58" t="s">
        <v>154</v>
      </c>
      <c r="E75" s="103" t="s">
        <v>308</v>
      </c>
      <c r="F75" s="103"/>
      <c r="G75" s="103"/>
      <c r="O75" s="42"/>
      <c r="P75" s="42"/>
    </row>
    <row r="76" spans="1:30">
      <c r="B76" s="73"/>
      <c r="C76" s="58"/>
      <c r="D76" s="58"/>
    </row>
    <row r="77" spans="1:30" ht="17.5" thickBot="1">
      <c r="A77" s="109" t="s">
        <v>315</v>
      </c>
      <c r="B77" s="109"/>
      <c r="C77" s="109"/>
      <c r="D77" s="109"/>
      <c r="E77" s="108" t="s">
        <v>320</v>
      </c>
      <c r="F77" s="100"/>
      <c r="G77" s="100"/>
    </row>
    <row r="78" spans="1:30" ht="15.5" thickTop="1" thickBot="1">
      <c r="A78" s="74" t="s">
        <v>157</v>
      </c>
      <c r="B78" s="48" t="s">
        <v>156</v>
      </c>
      <c r="C78" s="49" t="s">
        <v>166</v>
      </c>
      <c r="D78" s="74" t="s">
        <v>158</v>
      </c>
      <c r="E78" s="105" t="s">
        <v>167</v>
      </c>
      <c r="F78" s="105"/>
      <c r="G78" s="105"/>
    </row>
    <row r="79" spans="1:30" ht="17">
      <c r="A79" s="58" t="s">
        <v>365</v>
      </c>
      <c r="B79" s="72" t="s">
        <v>316</v>
      </c>
      <c r="C79" s="86">
        <f>(E55-C55)/((E53-C53)*(E53-D53))-(D55-C55)/((D53-C53)*(E53-D53))</f>
        <v>-1.4060163436893292E-4</v>
      </c>
      <c r="D79" s="58" t="s">
        <v>154</v>
      </c>
      <c r="E79" s="103"/>
      <c r="F79" s="103"/>
      <c r="G79" s="103"/>
    </row>
    <row r="80" spans="1:30" ht="17">
      <c r="A80" s="58" t="s">
        <v>366</v>
      </c>
      <c r="B80" s="72" t="s">
        <v>317</v>
      </c>
      <c r="C80" s="86">
        <f>((D55-C55)/(D53-C53)-(D53+C53)*C79)*(1-$C$26)</f>
        <v>1.6093190215347799E-2</v>
      </c>
      <c r="D80" s="58" t="s">
        <v>154</v>
      </c>
      <c r="E80" s="103"/>
      <c r="F80" s="103"/>
      <c r="G80" s="103"/>
    </row>
    <row r="81" spans="1:36" ht="17">
      <c r="A81" s="58" t="s">
        <v>367</v>
      </c>
      <c r="B81" s="72" t="s">
        <v>318</v>
      </c>
      <c r="C81" s="82">
        <f>C55-C53^2*C79-C53*C80</f>
        <v>0</v>
      </c>
      <c r="D81" s="58" t="s">
        <v>154</v>
      </c>
      <c r="E81" s="103"/>
      <c r="F81" s="103"/>
      <c r="G81" s="103"/>
    </row>
    <row r="82" spans="1:36">
      <c r="C82" s="58"/>
      <c r="D82" s="58"/>
      <c r="E82" s="103"/>
      <c r="F82" s="103"/>
      <c r="G82" s="103"/>
    </row>
    <row r="83" spans="1:36" ht="16.5">
      <c r="A83" s="58" t="s">
        <v>321</v>
      </c>
      <c r="B83" s="72" t="s">
        <v>319</v>
      </c>
      <c r="C83" s="52">
        <f>C63*D53^2+C64*D53+C65-(C67)*(1-C36)*C84</f>
        <v>4.0251236695911707</v>
      </c>
      <c r="D83" s="46" t="s">
        <v>0</v>
      </c>
      <c r="E83" s="75" t="b">
        <f>C83=D54</f>
        <v>1</v>
      </c>
      <c r="F83" s="110" t="s">
        <v>322</v>
      </c>
      <c r="G83" s="110"/>
    </row>
    <row r="84" spans="1:36" ht="16.5">
      <c r="B84" s="72" t="s">
        <v>178</v>
      </c>
      <c r="C84" s="52">
        <f>(D54-C63*D53^2-C64*D53-C65)/(-C67)/(1-C36)</f>
        <v>0.90897664745826989</v>
      </c>
      <c r="D84" s="46" t="s">
        <v>0</v>
      </c>
      <c r="E84" s="58"/>
    </row>
    <row r="85" spans="1:36" ht="16.5">
      <c r="A85" s="58" t="s">
        <v>324</v>
      </c>
      <c r="B85" s="72" t="s">
        <v>323</v>
      </c>
      <c r="C85" s="52">
        <f>-C80/2/C79</f>
        <v>57.229740918657917</v>
      </c>
      <c r="D85" s="46" t="s">
        <v>1</v>
      </c>
      <c r="E85" s="75" t="b">
        <f>C85=D53</f>
        <v>1</v>
      </c>
      <c r="F85" s="110" t="s">
        <v>322</v>
      </c>
      <c r="G85" s="110"/>
      <c r="Y85" s="58"/>
    </row>
    <row r="86" spans="1:36" ht="16.5">
      <c r="A86" s="58" t="s">
        <v>309</v>
      </c>
      <c r="B86" s="67" t="s">
        <v>251</v>
      </c>
      <c r="C86" s="82">
        <f>C79*C85^2+C80*C85+C81</f>
        <v>0.4605045532895175</v>
      </c>
      <c r="D86" s="58" t="s">
        <v>154</v>
      </c>
      <c r="E86" s="103"/>
      <c r="F86" s="103"/>
      <c r="G86" s="103"/>
      <c r="Y86" s="58"/>
    </row>
    <row r="87" spans="1:36">
      <c r="A87" s="76"/>
      <c r="B87" s="58"/>
      <c r="C87" s="77"/>
      <c r="D87" s="78"/>
      <c r="E87" s="58"/>
      <c r="F87" s="58"/>
      <c r="G87" s="58"/>
      <c r="Y87" s="58"/>
    </row>
    <row r="88" spans="1:36" ht="17.5" thickBot="1">
      <c r="A88" s="109" t="s">
        <v>346</v>
      </c>
      <c r="B88" s="109"/>
      <c r="C88" s="109"/>
      <c r="D88" s="109"/>
      <c r="E88" s="57"/>
      <c r="F88" s="57"/>
      <c r="G88" s="57"/>
      <c r="Y88" s="58"/>
    </row>
    <row r="89" spans="1:36" ht="15.5" thickTop="1" thickBot="1">
      <c r="A89" s="74" t="s">
        <v>157</v>
      </c>
      <c r="B89" s="48" t="s">
        <v>156</v>
      </c>
      <c r="C89" s="49" t="s">
        <v>347</v>
      </c>
      <c r="D89" s="49" t="s">
        <v>348</v>
      </c>
      <c r="E89" s="49" t="s">
        <v>349</v>
      </c>
      <c r="F89" s="47" t="s">
        <v>158</v>
      </c>
      <c r="G89" s="47" t="s">
        <v>167</v>
      </c>
      <c r="Y89" s="58"/>
    </row>
    <row r="90" spans="1:36" ht="16.5">
      <c r="A90" s="58" t="s">
        <v>325</v>
      </c>
      <c r="B90" s="72" t="s">
        <v>326</v>
      </c>
      <c r="C90" s="82">
        <f>C25</f>
        <v>1</v>
      </c>
      <c r="D90" s="82">
        <f>C36</f>
        <v>0.4</v>
      </c>
      <c r="E90" s="82">
        <f>C42</f>
        <v>0.88586500552312519</v>
      </c>
      <c r="F90" s="58" t="s">
        <v>154</v>
      </c>
      <c r="G90" s="58"/>
      <c r="Y90" s="58"/>
    </row>
    <row r="91" spans="1:36" ht="17">
      <c r="A91" s="58" t="s">
        <v>343</v>
      </c>
      <c r="B91" s="58" t="s">
        <v>351</v>
      </c>
      <c r="C91" s="52">
        <f>C74</f>
        <v>112.29275052268197</v>
      </c>
      <c r="D91" s="52">
        <f>C85</f>
        <v>57.229740918657917</v>
      </c>
      <c r="E91" s="52">
        <f>(C91-D91)*(1-($C$90-$E$90)/($C$90-$D$90))+D91</f>
        <v>101.81839002762298</v>
      </c>
      <c r="F91" s="58" t="s">
        <v>1</v>
      </c>
      <c r="G91" s="58"/>
      <c r="Y91" s="58"/>
    </row>
    <row r="92" spans="1:36" ht="16.5">
      <c r="A92" s="58" t="s">
        <v>228</v>
      </c>
      <c r="B92" s="85" t="s">
        <v>350</v>
      </c>
      <c r="C92" s="82">
        <f>C75</f>
        <v>0.6055985915876354</v>
      </c>
      <c r="D92" s="82">
        <f>C86</f>
        <v>0.4605045532895175</v>
      </c>
      <c r="E92" s="82">
        <f>(C92-D92)*(1-($C$90-$E$90)/($C$90-$D$90))+D92</f>
        <v>0.57799807948799686</v>
      </c>
      <c r="F92" s="58" t="s">
        <v>342</v>
      </c>
      <c r="G92" s="58"/>
      <c r="Y92" s="58"/>
    </row>
    <row r="93" spans="1:36" ht="16.5">
      <c r="A93" s="58" t="s">
        <v>345</v>
      </c>
      <c r="B93" s="58" t="s">
        <v>352</v>
      </c>
      <c r="C93" s="52">
        <f>(-$C$72-SQRT($C$72^2-4*$C$71*$C$73))/2/$C$71</f>
        <v>273.61338012901194</v>
      </c>
      <c r="D93" s="52">
        <f>(-$C$80-SQRT($C$80^2-4*$C$79*$C$81))/2/$C$79</f>
        <v>114.45948183731583</v>
      </c>
      <c r="E93" s="52">
        <f>(C93-D93)*(1-($C$90-$E$90)/($C$90-$D$90))+D93</f>
        <v>243.3383312915189</v>
      </c>
      <c r="F93" s="58" t="s">
        <v>1</v>
      </c>
      <c r="G93" s="58"/>
      <c r="Y93" s="58"/>
    </row>
    <row r="94" spans="1:36" ht="16.5">
      <c r="A94" s="58" t="s">
        <v>344</v>
      </c>
      <c r="B94" s="58" t="s">
        <v>353</v>
      </c>
      <c r="C94" s="52">
        <f>(-$C$72+SQRT($C$72^2-4*$C$71*$C$73))/2/$C$71</f>
        <v>-49.02787908364801</v>
      </c>
      <c r="D94" s="52">
        <f>(-$C$80+SQRT($C$80^2-4*$C$79*$C$81))/2/$C$79</f>
        <v>0</v>
      </c>
      <c r="E94" s="52">
        <f>(C94-D94)*(1-($C$90-$E$90)/($C$90-$D$90))+D94</f>
        <v>-39.70155123627292</v>
      </c>
      <c r="F94" s="58" t="s">
        <v>1</v>
      </c>
      <c r="G94" s="58"/>
      <c r="Y94" s="58"/>
    </row>
    <row r="95" spans="1:36">
      <c r="C95" s="58"/>
      <c r="D95" s="58"/>
      <c r="E95" s="58"/>
      <c r="F95" s="58"/>
      <c r="G95" s="58"/>
      <c r="Y95" s="58"/>
      <c r="AJ95" s="71"/>
    </row>
    <row r="96" spans="1:36">
      <c r="AJ96" s="71"/>
    </row>
    <row r="97" spans="3:36">
      <c r="AI97" s="53"/>
      <c r="AJ97" s="71"/>
    </row>
    <row r="98" spans="3:36">
      <c r="C98" s="58"/>
      <c r="D98" s="58"/>
      <c r="E98" s="58"/>
      <c r="F98" s="58"/>
      <c r="G98" s="58"/>
      <c r="Y98" s="58"/>
      <c r="AG98" s="53"/>
      <c r="AH98" s="53"/>
      <c r="AI98" s="53"/>
      <c r="AJ98" s="71"/>
    </row>
    <row r="99" spans="3:36">
      <c r="C99" s="58"/>
      <c r="D99" s="58"/>
      <c r="E99" s="58"/>
      <c r="F99" s="58"/>
      <c r="G99" s="58"/>
      <c r="Y99" s="58"/>
      <c r="AG99" s="53"/>
      <c r="AH99" s="53"/>
      <c r="AI99" s="53"/>
      <c r="AJ99" s="71"/>
    </row>
    <row r="100" spans="3:36">
      <c r="C100" s="58"/>
      <c r="D100" s="58"/>
      <c r="E100" s="58"/>
      <c r="F100" s="58"/>
      <c r="G100" s="58"/>
      <c r="H100" s="71"/>
      <c r="Y100" s="58"/>
      <c r="AG100" s="53"/>
      <c r="AH100" s="53"/>
      <c r="AI100" s="53"/>
      <c r="AJ100" s="71"/>
    </row>
    <row r="101" spans="3:36">
      <c r="C101" s="58"/>
      <c r="D101" s="58"/>
      <c r="E101" s="58"/>
      <c r="F101" s="58"/>
      <c r="G101" s="58"/>
      <c r="H101" s="71"/>
      <c r="AG101" s="53"/>
      <c r="AH101" s="53"/>
      <c r="AI101" s="53"/>
      <c r="AJ101" s="71"/>
    </row>
    <row r="102" spans="3:36">
      <c r="C102" s="58"/>
      <c r="D102" s="58"/>
      <c r="E102" s="58"/>
      <c r="F102" s="58"/>
      <c r="G102" s="58"/>
      <c r="H102" s="71"/>
      <c r="AG102" s="53"/>
      <c r="AH102" s="53"/>
      <c r="AI102" s="53"/>
      <c r="AJ102" s="71"/>
    </row>
    <row r="103" spans="3:36">
      <c r="H103" s="71"/>
      <c r="AA103" s="68"/>
      <c r="AB103" s="68"/>
      <c r="AC103" s="68"/>
      <c r="AD103" s="70"/>
      <c r="AE103" s="63"/>
      <c r="AG103" s="53"/>
      <c r="AH103" s="53"/>
      <c r="AI103" s="53"/>
      <c r="AJ103" s="71"/>
    </row>
    <row r="104" spans="3:36">
      <c r="H104" s="71"/>
      <c r="Z104" s="70"/>
      <c r="AA104" s="68"/>
      <c r="AB104" s="68"/>
      <c r="AC104" s="68"/>
      <c r="AD104" s="70"/>
      <c r="AE104" s="63"/>
      <c r="AF104" s="53"/>
      <c r="AG104" s="53"/>
      <c r="AH104" s="53"/>
      <c r="AI104" s="53"/>
      <c r="AJ104" s="71"/>
    </row>
    <row r="105" spans="3:36">
      <c r="H105" s="71"/>
      <c r="Z105" s="70"/>
      <c r="AA105" s="68"/>
      <c r="AB105" s="68"/>
      <c r="AC105" s="68"/>
      <c r="AD105" s="70"/>
      <c r="AE105" s="63"/>
      <c r="AF105" s="53"/>
      <c r="AG105" s="53"/>
      <c r="AH105" s="53"/>
      <c r="AI105" s="53"/>
      <c r="AJ105" s="71"/>
    </row>
    <row r="106" spans="3:36">
      <c r="H106" s="71"/>
      <c r="Z106" s="70"/>
      <c r="AA106" s="68"/>
      <c r="AB106" s="68"/>
      <c r="AC106" s="68"/>
      <c r="AD106" s="70"/>
      <c r="AE106" s="63"/>
      <c r="AF106" s="53"/>
      <c r="AG106" s="53"/>
      <c r="AH106" s="53"/>
      <c r="AI106" s="53"/>
      <c r="AJ106" s="71"/>
    </row>
    <row r="107" spans="3:36">
      <c r="H107" s="71"/>
      <c r="Z107" s="70"/>
      <c r="AA107" s="68"/>
      <c r="AB107" s="68"/>
      <c r="AC107" s="68"/>
      <c r="AD107" s="70"/>
      <c r="AE107" s="63"/>
      <c r="AF107" s="53"/>
      <c r="AG107" s="53"/>
      <c r="AH107" s="53"/>
      <c r="AI107" s="53"/>
      <c r="AJ107" s="71"/>
    </row>
    <row r="108" spans="3:36">
      <c r="H108" s="71"/>
      <c r="Z108" s="70"/>
      <c r="AA108" s="68"/>
      <c r="AB108" s="68"/>
      <c r="AC108" s="68"/>
      <c r="AD108" s="70"/>
      <c r="AE108" s="63"/>
      <c r="AF108" s="53"/>
      <c r="AG108" s="53"/>
      <c r="AH108" s="53"/>
      <c r="AI108" s="53"/>
      <c r="AJ108" s="71"/>
    </row>
    <row r="109" spans="3:36">
      <c r="H109" s="71"/>
      <c r="Z109" s="70"/>
      <c r="AA109" s="68"/>
      <c r="AB109" s="68"/>
      <c r="AC109" s="68"/>
      <c r="AD109" s="70"/>
      <c r="AE109" s="63"/>
      <c r="AF109" s="53"/>
      <c r="AG109" s="53"/>
      <c r="AH109" s="53"/>
      <c r="AI109" s="53"/>
    </row>
    <row r="110" spans="3:36">
      <c r="H110" s="71"/>
      <c r="Z110" s="70"/>
      <c r="AA110" s="68"/>
      <c r="AB110" s="68"/>
      <c r="AC110" s="68"/>
      <c r="AD110" s="70"/>
      <c r="AE110" s="63"/>
      <c r="AF110" s="53"/>
      <c r="AG110" s="53"/>
      <c r="AH110" s="53"/>
      <c r="AI110" s="53"/>
    </row>
    <row r="111" spans="3:36">
      <c r="H111" s="71"/>
      <c r="Z111" s="70"/>
      <c r="AA111" s="68"/>
      <c r="AB111" s="68"/>
      <c r="AC111" s="68"/>
      <c r="AD111" s="70"/>
      <c r="AE111" s="63"/>
      <c r="AF111" s="53"/>
      <c r="AG111" s="53"/>
      <c r="AH111" s="53"/>
      <c r="AI111" s="53"/>
    </row>
    <row r="112" spans="3:36">
      <c r="H112" s="71"/>
      <c r="Z112" s="70"/>
      <c r="AA112" s="68"/>
      <c r="AB112" s="68"/>
      <c r="AC112" s="68"/>
      <c r="AD112" s="70"/>
      <c r="AE112" s="63"/>
      <c r="AF112" s="53"/>
      <c r="AI112" s="53"/>
    </row>
    <row r="113" spans="8:32">
      <c r="H113" s="71"/>
      <c r="Z113" s="70"/>
      <c r="AA113" s="68"/>
      <c r="AB113" s="68"/>
      <c r="AC113" s="68"/>
      <c r="AD113" s="70"/>
      <c r="AE113" s="63"/>
      <c r="AF113" s="53"/>
    </row>
    <row r="114" spans="8:32">
      <c r="H114" s="71"/>
      <c r="Z114" s="70"/>
      <c r="AA114" s="68"/>
      <c r="AB114" s="68"/>
      <c r="AC114" s="68"/>
      <c r="AD114" s="70"/>
      <c r="AE114" s="63"/>
      <c r="AF114" s="53"/>
    </row>
    <row r="115" spans="8:32">
      <c r="Z115" s="70"/>
      <c r="AA115" s="68"/>
      <c r="AB115" s="68"/>
      <c r="AC115" s="68"/>
      <c r="AD115" s="70"/>
      <c r="AE115" s="63"/>
      <c r="AF115" s="53"/>
    </row>
    <row r="116" spans="8:32">
      <c r="Z116" s="70"/>
      <c r="AA116" s="68"/>
      <c r="AB116" s="68"/>
      <c r="AC116" s="68"/>
      <c r="AD116" s="70"/>
      <c r="AE116" s="63"/>
      <c r="AF116" s="53"/>
    </row>
    <row r="117" spans="8:32">
      <c r="Z117" s="70"/>
      <c r="AA117" s="68"/>
      <c r="AB117" s="68"/>
      <c r="AC117" s="68"/>
      <c r="AD117" s="70"/>
      <c r="AE117" s="63"/>
      <c r="AF117" s="53"/>
    </row>
    <row r="118" spans="8:32">
      <c r="Z118" s="68"/>
      <c r="AA118" s="68"/>
      <c r="AB118" s="68"/>
      <c r="AC118" s="68"/>
      <c r="AD118" s="70"/>
      <c r="AE118" s="63"/>
    </row>
  </sheetData>
  <mergeCells count="61">
    <mergeCell ref="A13:D13"/>
    <mergeCell ref="A88:D88"/>
    <mergeCell ref="F83:G83"/>
    <mergeCell ref="F85:G85"/>
    <mergeCell ref="A40:D40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A77:D77"/>
    <mergeCell ref="A69:D69"/>
    <mergeCell ref="A61:D61"/>
    <mergeCell ref="A34:D34"/>
    <mergeCell ref="A51:D51"/>
    <mergeCell ref="E64:G64"/>
    <mergeCell ref="E65:G65"/>
    <mergeCell ref="E38:G38"/>
    <mergeCell ref="E62:G62"/>
    <mergeCell ref="E63:G63"/>
    <mergeCell ref="E86:G86"/>
    <mergeCell ref="E72:G72"/>
    <mergeCell ref="E73:G73"/>
    <mergeCell ref="E66:G66"/>
    <mergeCell ref="E67:G67"/>
    <mergeCell ref="E78:G78"/>
    <mergeCell ref="E79:G79"/>
    <mergeCell ref="E80:G80"/>
    <mergeCell ref="E81:G81"/>
    <mergeCell ref="E74:G74"/>
    <mergeCell ref="E75:G75"/>
    <mergeCell ref="E82:G82"/>
    <mergeCell ref="E70:G70"/>
    <mergeCell ref="E71:G71"/>
    <mergeCell ref="E69:G69"/>
    <mergeCell ref="E77:G77"/>
    <mergeCell ref="E32:G32"/>
    <mergeCell ref="E35:G35"/>
    <mergeCell ref="E36:G36"/>
    <mergeCell ref="E37:G37"/>
    <mergeCell ref="E61:G61"/>
    <mergeCell ref="E29:G29"/>
    <mergeCell ref="E30:G30"/>
    <mergeCell ref="E31:G31"/>
    <mergeCell ref="E6:G6"/>
    <mergeCell ref="E3:G3"/>
    <mergeCell ref="E4:G4"/>
    <mergeCell ref="E5:G5"/>
    <mergeCell ref="E8:G8"/>
    <mergeCell ref="E7:G7"/>
    <mergeCell ref="E9:G9"/>
    <mergeCell ref="E24:G24"/>
    <mergeCell ref="E25:G25"/>
    <mergeCell ref="E26:G26"/>
    <mergeCell ref="E27:G27"/>
    <mergeCell ref="E28:G28"/>
  </mergeCells>
  <conditionalFormatting sqref="AI10:AI2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:AG2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:AE3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:P67 O75:P75">
    <cfRule type="cellIs" dxfId="31" priority="13" stopIfTrue="1" operator="notEqual">
      <formula>INDIRECT("Dummy_for_Comparison3!"&amp;ADDRESS(ROW(),COLUMN()))</formula>
    </cfRule>
  </conditionalFormatting>
  <conditionalFormatting sqref="L56:M56">
    <cfRule type="cellIs" dxfId="30" priority="11" stopIfTrue="1" operator="notEqual">
      <formula>INDIRECT("Dummy_for_Comparison3!"&amp;ADDRESS(ROW(),COLUMN()))</formula>
    </cfRule>
  </conditionalFormatting>
  <conditionalFormatting sqref="E83">
    <cfRule type="cellIs" dxfId="29" priority="3" operator="equal">
      <formula>TRUE</formula>
    </cfRule>
    <cfRule type="cellIs" dxfId="28" priority="4" operator="equal">
      <formula>FALSE</formula>
    </cfRule>
  </conditionalFormatting>
  <conditionalFormatting sqref="E85">
    <cfRule type="cellIs" dxfId="27" priority="1" operator="equal">
      <formula>TRUE</formula>
    </cfRule>
    <cfRule type="cellIs" dxfId="26" priority="2" operator="equal">
      <formula>FALSE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AF32E-3DD7-469C-9F61-CD90FCFE186C}">
  <dimension ref="A1:J55"/>
  <sheetViews>
    <sheetView showGridLines="0" zoomScaleNormal="100" workbookViewId="0">
      <selection sqref="A1:J1"/>
    </sheetView>
  </sheetViews>
  <sheetFormatPr defaultRowHeight="14.5"/>
  <cols>
    <col min="1" max="1" width="74.453125" bestFit="1" customWidth="1"/>
    <col min="2" max="2" width="10.54296875" bestFit="1" customWidth="1"/>
    <col min="3" max="3" width="10.54296875" hidden="1" customWidth="1"/>
    <col min="4" max="4" width="10.54296875" customWidth="1"/>
    <col min="5" max="5" width="10.54296875" hidden="1" customWidth="1"/>
    <col min="6" max="6" width="10.54296875" customWidth="1"/>
    <col min="7" max="7" width="10.54296875" hidden="1" customWidth="1"/>
    <col min="8" max="8" width="10.54296875" customWidth="1"/>
    <col min="9" max="9" width="10.54296875" hidden="1" customWidth="1"/>
    <col min="10" max="10" width="12.54296875" customWidth="1"/>
    <col min="12" max="12" width="24.7265625" bestFit="1" customWidth="1"/>
  </cols>
  <sheetData>
    <row r="1" spans="1:10" ht="26.5" thickBot="1">
      <c r="A1" s="112" t="s">
        <v>363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0.5" thickTop="1" thickBot="1">
      <c r="A2" s="20" t="s">
        <v>155</v>
      </c>
      <c r="B2" s="20"/>
      <c r="C2" s="20"/>
      <c r="D2" s="21" t="s">
        <v>172</v>
      </c>
      <c r="E2" s="21"/>
      <c r="F2" s="21" t="s">
        <v>173</v>
      </c>
      <c r="G2" s="21"/>
      <c r="H2" s="21" t="s">
        <v>174</v>
      </c>
      <c r="I2" s="21"/>
      <c r="J2" s="20"/>
    </row>
    <row r="3" spans="1:10" ht="15.5" thickTop="1" thickBot="1">
      <c r="A3" s="22" t="s">
        <v>157</v>
      </c>
      <c r="B3" s="22" t="s">
        <v>156</v>
      </c>
      <c r="C3" s="22"/>
      <c r="D3" s="23" t="s">
        <v>166</v>
      </c>
      <c r="E3" s="23"/>
      <c r="F3" s="23" t="s">
        <v>166</v>
      </c>
      <c r="G3" s="23"/>
      <c r="H3" s="23" t="s">
        <v>166</v>
      </c>
      <c r="I3" s="23"/>
      <c r="J3" s="22" t="s">
        <v>158</v>
      </c>
    </row>
    <row r="4" spans="1:10" ht="15" hidden="1" thickBot="1">
      <c r="A4" s="22"/>
      <c r="B4" s="22"/>
      <c r="C4" s="22"/>
      <c r="D4" s="23"/>
      <c r="E4" s="23"/>
      <c r="F4" s="23"/>
      <c r="G4" s="23"/>
      <c r="H4" s="23"/>
      <c r="I4" s="23"/>
      <c r="J4" s="22"/>
    </row>
    <row r="5" spans="1:10" ht="16.5">
      <c r="A5" t="s">
        <v>373</v>
      </c>
      <c r="B5" t="s">
        <v>393</v>
      </c>
      <c r="D5" s="33">
        <f>'Curve generation'!C7</f>
        <v>2</v>
      </c>
      <c r="E5" s="33"/>
      <c r="F5" s="33">
        <f>'Curve generation'!D7</f>
        <v>2</v>
      </c>
      <c r="G5" s="33"/>
      <c r="H5" s="33">
        <f>'Curve generation'!E7</f>
        <v>2</v>
      </c>
      <c r="I5" s="33"/>
      <c r="J5" t="s">
        <v>164</v>
      </c>
    </row>
    <row r="6" spans="1:10" ht="16.5">
      <c r="A6" t="s">
        <v>213</v>
      </c>
      <c r="B6" t="s">
        <v>394</v>
      </c>
      <c r="D6" s="33">
        <v>1</v>
      </c>
      <c r="E6" s="33"/>
      <c r="F6" s="33">
        <v>1</v>
      </c>
      <c r="G6" s="33"/>
      <c r="H6" s="33">
        <v>1</v>
      </c>
      <c r="I6" s="33"/>
      <c r="J6" t="s">
        <v>164</v>
      </c>
    </row>
    <row r="8" spans="1:10" ht="20" thickBot="1">
      <c r="A8" s="20" t="s">
        <v>241</v>
      </c>
      <c r="B8" s="20"/>
      <c r="C8" s="20"/>
      <c r="D8" s="21" t="s">
        <v>172</v>
      </c>
      <c r="E8" s="21"/>
      <c r="F8" s="21" t="s">
        <v>173</v>
      </c>
      <c r="G8" s="21"/>
      <c r="H8" s="21" t="s">
        <v>174</v>
      </c>
      <c r="I8" s="21"/>
      <c r="J8" s="20"/>
    </row>
    <row r="9" spans="1:10" ht="15.5" thickTop="1" thickBot="1">
      <c r="A9" s="22" t="s">
        <v>157</v>
      </c>
      <c r="B9" s="22" t="s">
        <v>156</v>
      </c>
      <c r="C9" s="22"/>
      <c r="D9" s="23" t="s">
        <v>166</v>
      </c>
      <c r="E9" s="23"/>
      <c r="F9" s="23" t="s">
        <v>166</v>
      </c>
      <c r="G9" s="23"/>
      <c r="H9" s="23" t="s">
        <v>166</v>
      </c>
      <c r="I9" s="23"/>
      <c r="J9" s="22" t="s">
        <v>158</v>
      </c>
    </row>
    <row r="10" spans="1:10" ht="15" hidden="1" thickBot="1">
      <c r="A10" s="22"/>
      <c r="B10" s="22"/>
      <c r="C10" s="22"/>
      <c r="D10" s="23"/>
      <c r="E10" s="23"/>
      <c r="F10" s="23"/>
      <c r="G10" s="23"/>
      <c r="H10" s="23"/>
      <c r="I10" s="23"/>
      <c r="J10" s="22"/>
    </row>
    <row r="11" spans="1:10" ht="16.5">
      <c r="A11" t="s">
        <v>411</v>
      </c>
      <c r="B11" t="s">
        <v>395</v>
      </c>
      <c r="D11" s="33">
        <f>'Curve generation'!C28</f>
        <v>0</v>
      </c>
      <c r="E11" s="33"/>
      <c r="F11" s="33">
        <f>'Curve generation'!D28</f>
        <v>0</v>
      </c>
      <c r="G11" s="33"/>
      <c r="H11" s="33">
        <f>'Curve generation'!E28</f>
        <v>0</v>
      </c>
      <c r="I11" s="33"/>
      <c r="J11" t="s">
        <v>1</v>
      </c>
    </row>
    <row r="12" spans="1:10" ht="16.5">
      <c r="A12" t="s">
        <v>412</v>
      </c>
      <c r="B12" t="s">
        <v>396</v>
      </c>
      <c r="D12" s="33">
        <f>'Curve generation'!C29</f>
        <v>10.37</v>
      </c>
      <c r="E12" s="33"/>
      <c r="F12" s="33">
        <f>'Curve generation'!D29</f>
        <v>13.77</v>
      </c>
      <c r="G12" s="33"/>
      <c r="H12" s="33">
        <f>'Curve generation'!E29</f>
        <v>17.169999999999998</v>
      </c>
      <c r="I12" s="33"/>
      <c r="J12" t="s">
        <v>0</v>
      </c>
    </row>
    <row r="13" spans="1:10" ht="16.5">
      <c r="A13" t="s">
        <v>413</v>
      </c>
      <c r="B13" t="s">
        <v>397</v>
      </c>
      <c r="D13" s="33">
        <f>'Curve generation'!C30*100</f>
        <v>0</v>
      </c>
      <c r="E13" s="33"/>
      <c r="F13" s="33">
        <f>'Curve generation'!D30*100</f>
        <v>0</v>
      </c>
      <c r="G13" s="33"/>
      <c r="H13" s="33">
        <f>'Curve generation'!E30*100</f>
        <v>0</v>
      </c>
      <c r="I13" s="33"/>
      <c r="J13" t="s">
        <v>370</v>
      </c>
    </row>
    <row r="14" spans="1:10" ht="16.5">
      <c r="A14" t="s">
        <v>414</v>
      </c>
      <c r="B14" t="s">
        <v>398</v>
      </c>
      <c r="D14" s="94">
        <f>'Curve generation'!C32</f>
        <v>277.77777777777777</v>
      </c>
      <c r="E14" s="94"/>
      <c r="F14" s="94">
        <f>'Curve generation'!D32</f>
        <v>555.55555555555554</v>
      </c>
      <c r="G14" s="94"/>
      <c r="H14" s="94">
        <f>'Curve generation'!E32</f>
        <v>1111.1111111111111</v>
      </c>
      <c r="I14" s="94"/>
      <c r="J14" t="s">
        <v>1</v>
      </c>
    </row>
    <row r="15" spans="1:10" ht="16.5">
      <c r="A15" t="s">
        <v>415</v>
      </c>
      <c r="B15" t="s">
        <v>399</v>
      </c>
      <c r="D15" s="33">
        <f>'Curve generation'!C33</f>
        <v>6.1</v>
      </c>
      <c r="E15" s="33"/>
      <c r="F15" s="33">
        <f>'Curve generation'!D33</f>
        <v>8.1</v>
      </c>
      <c r="G15" s="33"/>
      <c r="H15" s="33">
        <f>'Curve generation'!E33</f>
        <v>10.1</v>
      </c>
      <c r="I15" s="33"/>
      <c r="J15" s="34" t="s">
        <v>0</v>
      </c>
    </row>
    <row r="16" spans="1:10" ht="16.5">
      <c r="A16" t="s">
        <v>416</v>
      </c>
      <c r="B16" t="s">
        <v>400</v>
      </c>
      <c r="D16" s="33">
        <f>'Curve generation'!C34*100</f>
        <v>62.975778546712789</v>
      </c>
      <c r="E16" s="33"/>
      <c r="F16" s="33">
        <f>'Curve generation'!D34*100</f>
        <v>62.975778546712789</v>
      </c>
      <c r="G16" s="33"/>
      <c r="H16" s="33">
        <f>'Curve generation'!E34*100</f>
        <v>62.975778546712789</v>
      </c>
      <c r="I16" s="33"/>
      <c r="J16" t="s">
        <v>370</v>
      </c>
    </row>
    <row r="17" spans="1:10" ht="16.5">
      <c r="A17" t="s">
        <v>417</v>
      </c>
      <c r="B17" t="s">
        <v>401</v>
      </c>
      <c r="D17" s="33">
        <f>'Curve generation'!C36</f>
        <v>472.22222222222217</v>
      </c>
      <c r="E17" s="33"/>
      <c r="F17" s="33">
        <f>'Curve generation'!D36</f>
        <v>944.44444444444434</v>
      </c>
      <c r="G17" s="33"/>
      <c r="H17" s="33">
        <f>'Curve generation'!E36</f>
        <v>1888.8888888888887</v>
      </c>
      <c r="I17" s="33"/>
      <c r="J17" t="s">
        <v>1</v>
      </c>
    </row>
    <row r="18" spans="1:10" ht="16.5">
      <c r="A18" t="s">
        <v>418</v>
      </c>
      <c r="B18" t="s">
        <v>402</v>
      </c>
      <c r="D18" s="33">
        <f>'Curve generation'!C37</f>
        <v>0</v>
      </c>
      <c r="E18" s="33"/>
      <c r="F18" s="33">
        <f>'Curve generation'!D37</f>
        <v>0</v>
      </c>
      <c r="G18" s="33"/>
      <c r="H18" s="33">
        <f>'Curve generation'!E37</f>
        <v>0</v>
      </c>
      <c r="I18" s="33"/>
      <c r="J18" t="s">
        <v>0</v>
      </c>
    </row>
    <row r="19" spans="1:10" ht="16.5">
      <c r="A19" t="s">
        <v>419</v>
      </c>
      <c r="B19" t="s">
        <v>403</v>
      </c>
      <c r="D19" s="33">
        <f>'Curve generation'!C38*100</f>
        <v>0</v>
      </c>
      <c r="E19" s="33"/>
      <c r="F19" s="33">
        <f>'Curve generation'!D38*100</f>
        <v>0</v>
      </c>
      <c r="G19" s="33"/>
      <c r="H19" s="33">
        <f>'Curve generation'!E38*100</f>
        <v>0</v>
      </c>
      <c r="I19" s="33"/>
      <c r="J19" t="s">
        <v>370</v>
      </c>
    </row>
    <row r="20" spans="1:10" ht="16.5">
      <c r="A20" t="s">
        <v>420</v>
      </c>
      <c r="B20" t="s">
        <v>404</v>
      </c>
      <c r="D20" s="33">
        <f>+'Curve generation'!C63</f>
        <v>0</v>
      </c>
      <c r="E20" s="33"/>
      <c r="F20" s="33">
        <f>+'Curve generation'!D63</f>
        <v>0</v>
      </c>
      <c r="G20" s="33"/>
      <c r="H20" s="33">
        <f>+'Curve generation'!E63</f>
        <v>0</v>
      </c>
      <c r="I20" s="33"/>
      <c r="J20" t="s">
        <v>1</v>
      </c>
    </row>
    <row r="21" spans="1:10" ht="16.5">
      <c r="A21" t="s">
        <v>421</v>
      </c>
      <c r="B21" t="s">
        <v>405</v>
      </c>
      <c r="D21" s="33">
        <f>'Curve generation'!C48-('Curve generation'!C50)*'Curve generation'!C12*'Curve generation'!C25</f>
        <v>4.4159933333333345</v>
      </c>
      <c r="E21" s="33"/>
      <c r="F21" s="33">
        <f>'Curve generation'!D48-('Curve generation'!D50)*'Curve generation'!D12*'Curve generation'!D25</f>
        <v>6.993308571428571</v>
      </c>
      <c r="G21" s="33"/>
      <c r="H21" s="33">
        <f>'Curve generation'!E48-('Curve generation'!E50)*'Curve generation'!E12*'Curve generation'!E25</f>
        <v>8.7200514285714288</v>
      </c>
      <c r="I21" s="33"/>
      <c r="J21" t="s">
        <v>0</v>
      </c>
    </row>
    <row r="22" spans="1:10" ht="16.5">
      <c r="A22" t="s">
        <v>422</v>
      </c>
      <c r="B22" t="s">
        <v>406</v>
      </c>
      <c r="D22" s="33">
        <v>0</v>
      </c>
      <c r="E22" s="33"/>
      <c r="F22" s="33">
        <v>0</v>
      </c>
      <c r="G22" s="33"/>
      <c r="H22" s="33">
        <v>0</v>
      </c>
      <c r="I22" s="33"/>
      <c r="J22" t="s">
        <v>370</v>
      </c>
    </row>
    <row r="23" spans="1:10" ht="16.5">
      <c r="A23" t="s">
        <v>423</v>
      </c>
      <c r="B23" t="s">
        <v>407</v>
      </c>
      <c r="D23" s="33">
        <f>+'Curve generation'!C66</f>
        <v>141.81092575602011</v>
      </c>
      <c r="E23" s="33"/>
      <c r="F23" s="33">
        <f>+'Curve generation'!D66</f>
        <v>315.99231882513214</v>
      </c>
      <c r="G23" s="33"/>
      <c r="H23" s="33">
        <f>+'Curve generation'!E66</f>
        <v>631.98463765026429</v>
      </c>
      <c r="I23" s="33"/>
      <c r="J23" t="s">
        <v>1</v>
      </c>
    </row>
    <row r="24" spans="1:10" ht="16.5">
      <c r="A24" t="s">
        <v>424</v>
      </c>
      <c r="B24" t="s">
        <v>408</v>
      </c>
      <c r="D24" s="33">
        <f>+'Curve generation'!C67*100</f>
        <v>55.25</v>
      </c>
      <c r="E24" s="33"/>
      <c r="F24" s="33">
        <f>+'Curve generation'!D67*100</f>
        <v>55.25</v>
      </c>
      <c r="G24" s="33"/>
      <c r="H24" s="33">
        <f>+'Curve generation'!E67*100</f>
        <v>55.25</v>
      </c>
      <c r="I24" s="33"/>
      <c r="J24" t="s">
        <v>370</v>
      </c>
    </row>
    <row r="25" spans="1:10" ht="16.5">
      <c r="A25" t="s">
        <v>425</v>
      </c>
      <c r="B25" t="s">
        <v>409</v>
      </c>
      <c r="D25" s="33">
        <f>+'Curve generation'!C69</f>
        <v>283.62185151204022</v>
      </c>
      <c r="E25" s="33"/>
      <c r="F25" s="33">
        <f>+'Curve generation'!D69</f>
        <v>631.98463765026429</v>
      </c>
      <c r="G25" s="33"/>
      <c r="H25" s="33">
        <f>+'Curve generation'!E69</f>
        <v>1263.9692753005286</v>
      </c>
      <c r="I25" s="33"/>
      <c r="J25" t="s">
        <v>1</v>
      </c>
    </row>
    <row r="26" spans="1:10" ht="16.5">
      <c r="A26" t="s">
        <v>426</v>
      </c>
      <c r="B26" t="s">
        <v>410</v>
      </c>
      <c r="D26" s="33">
        <f>+'Curve generation'!C70*100</f>
        <v>0</v>
      </c>
      <c r="E26" s="33"/>
      <c r="F26" s="33">
        <f>+'Curve generation'!D70*100</f>
        <v>0</v>
      </c>
      <c r="G26" s="33"/>
      <c r="H26" s="33">
        <f>+'Curve generation'!E70*100</f>
        <v>0</v>
      </c>
      <c r="I26" s="33"/>
      <c r="J26" t="s">
        <v>370</v>
      </c>
    </row>
    <row r="27" spans="1:10" ht="16.5">
      <c r="A27" t="s">
        <v>245</v>
      </c>
      <c r="B27" t="s">
        <v>212</v>
      </c>
      <c r="D27" s="33">
        <f>(1-'Curve generation'!C12)*100</f>
        <v>30.000000000000004</v>
      </c>
      <c r="E27" s="33"/>
      <c r="F27" s="33">
        <f>(1-'Curve generation'!D12)*100</f>
        <v>40</v>
      </c>
      <c r="G27" s="33"/>
      <c r="H27" s="33">
        <f>(1-'Curve generation'!E12)*100</f>
        <v>40</v>
      </c>
      <c r="I27" s="33"/>
      <c r="J27" t="s">
        <v>370</v>
      </c>
    </row>
    <row r="29" spans="1:10" ht="26.5" thickBot="1">
      <c r="A29" s="112" t="s">
        <v>362</v>
      </c>
      <c r="B29" s="112"/>
      <c r="C29" s="112"/>
      <c r="D29" s="112"/>
      <c r="E29" s="112"/>
      <c r="F29" s="112"/>
      <c r="G29" s="115"/>
    </row>
    <row r="30" spans="1:10" ht="20.5" thickTop="1" thickBot="1">
      <c r="A30" s="20" t="s">
        <v>155</v>
      </c>
      <c r="B30" s="20"/>
      <c r="C30" s="20"/>
      <c r="D30" s="21" t="s">
        <v>354</v>
      </c>
      <c r="E30" s="21"/>
      <c r="F30" s="20"/>
      <c r="G30" s="20"/>
    </row>
    <row r="31" spans="1:10" ht="15.5" thickTop="1" thickBot="1">
      <c r="A31" s="22" t="s">
        <v>157</v>
      </c>
      <c r="B31" s="22" t="s">
        <v>156</v>
      </c>
      <c r="C31" s="22"/>
      <c r="D31" s="23" t="s">
        <v>166</v>
      </c>
      <c r="E31" s="23"/>
      <c r="F31" s="22" t="s">
        <v>158</v>
      </c>
      <c r="G31" s="22"/>
    </row>
    <row r="32" spans="1:10" ht="15" hidden="1" thickBot="1">
      <c r="A32" s="22"/>
      <c r="B32" s="22"/>
      <c r="C32" s="22"/>
      <c r="D32" s="23"/>
      <c r="E32" s="23"/>
      <c r="F32" s="22"/>
      <c r="G32" s="22"/>
    </row>
    <row r="33" spans="1:7" ht="16.5">
      <c r="A33" t="s">
        <v>373</v>
      </c>
      <c r="B33" t="s">
        <v>393</v>
      </c>
      <c r="D33" s="33">
        <f>Pumpcalibration!C7</f>
        <v>3</v>
      </c>
      <c r="E33" s="33"/>
      <c r="F33" t="s">
        <v>164</v>
      </c>
    </row>
    <row r="34" spans="1:7" ht="16.5">
      <c r="A34" t="s">
        <v>213</v>
      </c>
      <c r="B34" t="s">
        <v>394</v>
      </c>
      <c r="D34" s="33">
        <v>1</v>
      </c>
      <c r="E34" s="33"/>
      <c r="F34" t="s">
        <v>164</v>
      </c>
    </row>
    <row r="36" spans="1:7" ht="20" thickBot="1">
      <c r="A36" s="20" t="s">
        <v>241</v>
      </c>
      <c r="B36" s="20"/>
      <c r="C36" s="20"/>
      <c r="D36" s="21" t="s">
        <v>172</v>
      </c>
      <c r="E36" s="21"/>
      <c r="F36" s="20"/>
      <c r="G36" s="20"/>
    </row>
    <row r="37" spans="1:7" ht="15.5" thickTop="1" thickBot="1">
      <c r="A37" s="22" t="s">
        <v>157</v>
      </c>
      <c r="B37" s="22" t="s">
        <v>156</v>
      </c>
      <c r="C37" s="22"/>
      <c r="D37" s="23" t="s">
        <v>166</v>
      </c>
      <c r="E37" s="23"/>
      <c r="F37" s="22" t="s">
        <v>158</v>
      </c>
      <c r="G37" s="22"/>
    </row>
    <row r="38" spans="1:7" ht="15" hidden="1" thickBot="1">
      <c r="A38" s="22"/>
      <c r="B38" s="22"/>
      <c r="C38" s="22"/>
      <c r="D38" s="23"/>
      <c r="E38" s="23"/>
      <c r="F38" s="22"/>
      <c r="G38" s="22"/>
    </row>
    <row r="39" spans="1:7" ht="16.5">
      <c r="A39" t="s">
        <v>411</v>
      </c>
      <c r="B39" t="s">
        <v>395</v>
      </c>
      <c r="D39" s="33">
        <f>Pumpcalibration!C15</f>
        <v>60</v>
      </c>
      <c r="E39" s="33"/>
      <c r="F39" t="s">
        <v>1</v>
      </c>
    </row>
    <row r="40" spans="1:7" ht="16.5">
      <c r="A40" t="s">
        <v>412</v>
      </c>
      <c r="B40" t="s">
        <v>396</v>
      </c>
      <c r="D40" s="33">
        <f>Pumpcalibration!C16*(1-Pumpcalibration!C27)</f>
        <v>14</v>
      </c>
      <c r="E40" s="33"/>
      <c r="F40" t="s">
        <v>0</v>
      </c>
    </row>
    <row r="41" spans="1:7" ht="16.5">
      <c r="A41" t="s">
        <v>413</v>
      </c>
      <c r="B41" t="s">
        <v>397</v>
      </c>
      <c r="D41" s="93">
        <f>Pumpcalibration!C17*(1-Pumpcalibration!C27)*100</f>
        <v>54.196476923076922</v>
      </c>
      <c r="E41" s="93"/>
      <c r="F41" t="s">
        <v>370</v>
      </c>
    </row>
    <row r="42" spans="1:7" ht="16.5">
      <c r="A42" t="s">
        <v>414</v>
      </c>
      <c r="B42" t="s">
        <v>398</v>
      </c>
      <c r="D42" s="94">
        <f>Pumpcalibration!D15</f>
        <v>110</v>
      </c>
      <c r="E42" s="94"/>
      <c r="F42" t="s">
        <v>1</v>
      </c>
    </row>
    <row r="43" spans="1:7" ht="16.5">
      <c r="A43" t="s">
        <v>415</v>
      </c>
      <c r="B43" t="s">
        <v>399</v>
      </c>
      <c r="D43" s="33">
        <f>Pumpcalibration!D16*(1-Pumpcalibration!C27)</f>
        <v>10.5</v>
      </c>
      <c r="E43" s="33"/>
      <c r="F43" s="34" t="s">
        <v>0</v>
      </c>
      <c r="G43" s="34"/>
    </row>
    <row r="44" spans="1:7" ht="16.5">
      <c r="A44" t="s">
        <v>416</v>
      </c>
      <c r="B44" t="s">
        <v>400</v>
      </c>
      <c r="D44" s="33">
        <f>Pumpcalibration!D17*(1-Pumpcalibration!C27)*100</f>
        <v>60.5476265625</v>
      </c>
      <c r="E44" s="33"/>
      <c r="F44" t="s">
        <v>370</v>
      </c>
    </row>
    <row r="45" spans="1:7" ht="16.5">
      <c r="A45" t="s">
        <v>417</v>
      </c>
      <c r="B45" t="s">
        <v>401</v>
      </c>
      <c r="D45" s="33">
        <f>Pumpcalibration!E15</f>
        <v>170</v>
      </c>
      <c r="E45" s="33"/>
      <c r="F45" t="s">
        <v>1</v>
      </c>
    </row>
    <row r="46" spans="1:7" ht="16.5">
      <c r="A46" t="s">
        <v>418</v>
      </c>
      <c r="B46" t="s">
        <v>402</v>
      </c>
      <c r="D46" s="33">
        <f>Pumpcalibration!E16*(1-Pumpcalibration!C27)</f>
        <v>5</v>
      </c>
      <c r="E46" s="33"/>
      <c r="F46" t="s">
        <v>0</v>
      </c>
    </row>
    <row r="47" spans="1:7" ht="16.5">
      <c r="A47" t="s">
        <v>419</v>
      </c>
      <c r="B47" t="s">
        <v>403</v>
      </c>
      <c r="D47" s="93">
        <f>Pumpcalibration!E17*(1-Pumpcalibration!C27)*100</f>
        <v>52.81049999999999</v>
      </c>
      <c r="E47" s="93"/>
      <c r="F47" t="s">
        <v>370</v>
      </c>
    </row>
    <row r="48" spans="1:7" ht="16.5">
      <c r="A48" t="s">
        <v>420</v>
      </c>
      <c r="B48" t="s">
        <v>404</v>
      </c>
      <c r="D48" s="35">
        <f>Pumpcalibration!D53</f>
        <v>57.229740918657917</v>
      </c>
      <c r="E48" s="35"/>
      <c r="F48" t="s">
        <v>1</v>
      </c>
    </row>
    <row r="49" spans="1:6" ht="16.5">
      <c r="A49" t="s">
        <v>421</v>
      </c>
      <c r="B49" t="s">
        <v>405</v>
      </c>
      <c r="D49" s="35">
        <f>Pumpcalibration!D54*(1-Pumpcalibration!C27)</f>
        <v>4.025123669591169</v>
      </c>
      <c r="E49" s="35"/>
      <c r="F49" t="s">
        <v>0</v>
      </c>
    </row>
    <row r="50" spans="1:6" ht="16.5">
      <c r="A50" t="s">
        <v>422</v>
      </c>
      <c r="B50" t="s">
        <v>406</v>
      </c>
      <c r="D50" s="93">
        <f>Pumpcalibration!D55*(1-Pumpcalibration!C27)*100</f>
        <v>46.050455328951763</v>
      </c>
      <c r="E50" s="93"/>
      <c r="F50" t="s">
        <v>370</v>
      </c>
    </row>
    <row r="51" spans="1:6" ht="16.5">
      <c r="A51" t="s">
        <v>423</v>
      </c>
      <c r="B51" t="s">
        <v>407</v>
      </c>
      <c r="D51" s="33">
        <f>Pumpcalibration!C53</f>
        <v>0</v>
      </c>
      <c r="E51" s="33"/>
      <c r="F51" t="s">
        <v>1</v>
      </c>
    </row>
    <row r="52" spans="1:6" ht="16.5">
      <c r="A52" t="s">
        <v>424</v>
      </c>
      <c r="B52" t="s">
        <v>408</v>
      </c>
      <c r="D52" s="93">
        <f>Pumpcalibration!C55*(1-Pumpcalibration!C27)*100</f>
        <v>0</v>
      </c>
      <c r="E52" s="93"/>
      <c r="F52" t="s">
        <v>370</v>
      </c>
    </row>
    <row r="53" spans="1:6" ht="16.5">
      <c r="A53" t="s">
        <v>425</v>
      </c>
      <c r="B53" t="s">
        <v>409</v>
      </c>
      <c r="D53" s="33">
        <f>Pumpcalibration!E53</f>
        <v>114.45948183731583</v>
      </c>
      <c r="E53" s="33"/>
      <c r="F53" t="s">
        <v>1</v>
      </c>
    </row>
    <row r="54" spans="1:6" ht="16.5">
      <c r="A54" t="s">
        <v>426</v>
      </c>
      <c r="B54" t="s">
        <v>410</v>
      </c>
      <c r="D54" s="93">
        <f>Pumpcalibration!E55*(1-Pumpcalibration!C27)*100</f>
        <v>0</v>
      </c>
      <c r="E54" s="93"/>
      <c r="F54" t="s">
        <v>370</v>
      </c>
    </row>
    <row r="55" spans="1:6" ht="16.5">
      <c r="A55" t="s">
        <v>245</v>
      </c>
      <c r="B55" t="s">
        <v>212</v>
      </c>
      <c r="D55" s="93">
        <f>Pumpcalibration!C36*100</f>
        <v>40</v>
      </c>
      <c r="E55" s="93"/>
      <c r="F55" t="s">
        <v>370</v>
      </c>
    </row>
  </sheetData>
  <mergeCells count="2">
    <mergeCell ref="A29:F29"/>
    <mergeCell ref="A1:J1"/>
  </mergeCells>
  <conditionalFormatting sqref="A14:A20 A22:A27 D3:G4 A3:A4 D9:G10 A9:A10">
    <cfRule type="cellIs" dxfId="25" priority="47" stopIfTrue="1" operator="notEqual">
      <formula>INDIRECT("Dummy_for_Comparison3!"&amp;ADDRESS(ROW(),COLUMN()))</formula>
    </cfRule>
  </conditionalFormatting>
  <conditionalFormatting sqref="B3:C4">
    <cfRule type="cellIs" dxfId="24" priority="53" stopIfTrue="1" operator="notEqual">
      <formula>INDIRECT("Dummy_for_Comparison3!"&amp;ADDRESS(ROW(),COLUMN()))</formula>
    </cfRule>
  </conditionalFormatting>
  <conditionalFormatting sqref="A11:A12">
    <cfRule type="cellIs" dxfId="23" priority="51" stopIfTrue="1" operator="notEqual">
      <formula>INDIRECT("Dummy_for_Comparison3!"&amp;ADDRESS(ROW(),COLUMN()))</formula>
    </cfRule>
  </conditionalFormatting>
  <conditionalFormatting sqref="A2">
    <cfRule type="cellIs" dxfId="22" priority="50" stopIfTrue="1" operator="notEqual">
      <formula>INDIRECT("Dummy_for_Comparison3!"&amp;ADDRESS(ROW(),COLUMN()))</formula>
    </cfRule>
  </conditionalFormatting>
  <conditionalFormatting sqref="B2:C2">
    <cfRule type="cellIs" dxfId="21" priority="42" stopIfTrue="1" operator="notEqual">
      <formula>INDIRECT("Dummy_for_Comparison3!"&amp;ADDRESS(ROW(),COLUMN()))</formula>
    </cfRule>
  </conditionalFormatting>
  <conditionalFormatting sqref="A21">
    <cfRule type="cellIs" dxfId="20" priority="41" stopIfTrue="1" operator="notEqual">
      <formula>INDIRECT("Dummy_for_Comparison3!"&amp;ADDRESS(ROW(),COLUMN()))</formula>
    </cfRule>
  </conditionalFormatting>
  <conditionalFormatting sqref="B9:C10">
    <cfRule type="cellIs" dxfId="19" priority="40" stopIfTrue="1" operator="notEqual">
      <formula>INDIRECT("Dummy_for_Comparison3!"&amp;ADDRESS(ROW(),COLUMN()))</formula>
    </cfRule>
  </conditionalFormatting>
  <conditionalFormatting sqref="A8">
    <cfRule type="cellIs" dxfId="18" priority="39" stopIfTrue="1" operator="notEqual">
      <formula>INDIRECT("Dummy_for_Comparison3!"&amp;ADDRESS(ROW(),COLUMN()))</formula>
    </cfRule>
  </conditionalFormatting>
  <conditionalFormatting sqref="B8:C8">
    <cfRule type="cellIs" dxfId="17" priority="37" stopIfTrue="1" operator="notEqual">
      <formula>INDIRECT("Dummy_for_Comparison3!"&amp;ADDRESS(ROW(),COLUMN()))</formula>
    </cfRule>
  </conditionalFormatting>
  <conditionalFormatting sqref="B31:C32">
    <cfRule type="cellIs" dxfId="16" priority="27" stopIfTrue="1" operator="notEqual">
      <formula>INDIRECT("Dummy_for_Comparison3!"&amp;ADDRESS(ROW(),COLUMN()))</formula>
    </cfRule>
  </conditionalFormatting>
  <conditionalFormatting sqref="D31:E32 A31:A32 A37:A38">
    <cfRule type="cellIs" dxfId="15" priority="24" stopIfTrue="1" operator="notEqual">
      <formula>INDIRECT("Dummy_for_Comparison3!"&amp;ADDRESS(ROW(),COLUMN()))</formula>
    </cfRule>
  </conditionalFormatting>
  <conditionalFormatting sqref="A30">
    <cfRule type="cellIs" dxfId="14" priority="25" stopIfTrue="1" operator="notEqual">
      <formula>INDIRECT("Dummy_for_Comparison3!"&amp;ADDRESS(ROW(),COLUMN()))</formula>
    </cfRule>
  </conditionalFormatting>
  <conditionalFormatting sqref="B30:C30">
    <cfRule type="cellIs" dxfId="13" priority="23" stopIfTrue="1" operator="notEqual">
      <formula>INDIRECT("Dummy_for_Comparison3!"&amp;ADDRESS(ROW(),COLUMN()))</formula>
    </cfRule>
  </conditionalFormatting>
  <conditionalFormatting sqref="B37:C38">
    <cfRule type="cellIs" dxfId="12" priority="21" stopIfTrue="1" operator="notEqual">
      <formula>INDIRECT("Dummy_for_Comparison3!"&amp;ADDRESS(ROW(),COLUMN()))</formula>
    </cfRule>
  </conditionalFormatting>
  <conditionalFormatting sqref="A36">
    <cfRule type="cellIs" dxfId="11" priority="20" stopIfTrue="1" operator="notEqual">
      <formula>INDIRECT("Dummy_for_Comparison3!"&amp;ADDRESS(ROW(),COLUMN()))</formula>
    </cfRule>
  </conditionalFormatting>
  <conditionalFormatting sqref="B36:C36">
    <cfRule type="cellIs" dxfId="10" priority="19" stopIfTrue="1" operator="notEqual">
      <formula>INDIRECT("Dummy_for_Comparison3!"&amp;ADDRESS(ROW(),COLUMN()))</formula>
    </cfRule>
  </conditionalFormatting>
  <conditionalFormatting sqref="D37:E38">
    <cfRule type="cellIs" dxfId="9" priority="10" stopIfTrue="1" operator="notEqual">
      <formula>INDIRECT("Dummy_for_Comparison3!"&amp;ADDRESS(ROW(),COLUMN()))</formula>
    </cfRule>
  </conditionalFormatting>
  <conditionalFormatting sqref="B14:C20 B22:C27">
    <cfRule type="cellIs" dxfId="8" priority="8" stopIfTrue="1" operator="notEqual">
      <formula>INDIRECT("Dummy_for_Comparison3!"&amp;ADDRESS(ROW(),COLUMN()))</formula>
    </cfRule>
  </conditionalFormatting>
  <conditionalFormatting sqref="B11:C12">
    <cfRule type="cellIs" dxfId="7" priority="9" stopIfTrue="1" operator="notEqual">
      <formula>INDIRECT("Dummy_for_Comparison3!"&amp;ADDRESS(ROW(),COLUMN()))</formula>
    </cfRule>
  </conditionalFormatting>
  <conditionalFormatting sqref="B21:C21">
    <cfRule type="cellIs" dxfId="6" priority="7" stopIfTrue="1" operator="notEqual">
      <formula>INDIRECT("Dummy_for_Comparison3!"&amp;ADDRESS(ROW(),COLUMN()))</formula>
    </cfRule>
  </conditionalFormatting>
  <conditionalFormatting sqref="A42:A48 A50:A55">
    <cfRule type="cellIs" dxfId="5" priority="5" stopIfTrue="1" operator="notEqual">
      <formula>INDIRECT("Dummy_for_Comparison3!"&amp;ADDRESS(ROW(),COLUMN()))</formula>
    </cfRule>
  </conditionalFormatting>
  <conditionalFormatting sqref="A39:A40">
    <cfRule type="cellIs" dxfId="4" priority="6" stopIfTrue="1" operator="notEqual">
      <formula>INDIRECT("Dummy_for_Comparison3!"&amp;ADDRESS(ROW(),COLUMN()))</formula>
    </cfRule>
  </conditionalFormatting>
  <conditionalFormatting sqref="A49">
    <cfRule type="cellIs" dxfId="3" priority="4" stopIfTrue="1" operator="notEqual">
      <formula>INDIRECT("Dummy_for_Comparison3!"&amp;ADDRESS(ROW(),COLUMN()))</formula>
    </cfRule>
  </conditionalFormatting>
  <conditionalFormatting sqref="B42:C48 B50:C55">
    <cfRule type="cellIs" dxfId="2" priority="2" stopIfTrue="1" operator="notEqual">
      <formula>INDIRECT("Dummy_for_Comparison3!"&amp;ADDRESS(ROW(),COLUMN()))</formula>
    </cfRule>
  </conditionalFormatting>
  <conditionalFormatting sqref="B39:C40">
    <cfRule type="cellIs" dxfId="1" priority="3" stopIfTrue="1" operator="notEqual">
      <formula>INDIRECT("Dummy_for_Comparison3!"&amp;ADDRESS(ROW(),COLUMN()))</formula>
    </cfRule>
  </conditionalFormatting>
  <conditionalFormatting sqref="B49:C49">
    <cfRule type="cellIs" dxfId="0" priority="1" stopIfTrue="1" operator="notEqual">
      <formula>INDIRECT("Dummy_for_Comparison3!"&amp;ADDRESS(ROW(),COLUMN()))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A001-B973-41EA-BD4A-972CBA98970E}">
  <dimension ref="A1:M79"/>
  <sheetViews>
    <sheetView workbookViewId="0">
      <selection activeCell="H47" sqref="H47"/>
    </sheetView>
  </sheetViews>
  <sheetFormatPr defaultColWidth="11.453125" defaultRowHeight="14.5"/>
  <cols>
    <col min="1" max="1" width="12.81640625" bestFit="1" customWidth="1"/>
    <col min="2" max="2" width="18" bestFit="1" customWidth="1"/>
    <col min="4" max="4" width="12" bestFit="1" customWidth="1"/>
    <col min="6" max="6" width="11.453125" style="7"/>
  </cols>
  <sheetData>
    <row r="1" spans="1:6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6" t="s">
        <v>8</v>
      </c>
    </row>
    <row r="2" spans="1:6">
      <c r="B2" t="s">
        <v>9</v>
      </c>
      <c r="C2" t="s">
        <v>10</v>
      </c>
      <c r="D2">
        <v>9.81</v>
      </c>
      <c r="E2" t="s">
        <v>11</v>
      </c>
      <c r="F2" s="7" t="s">
        <v>10</v>
      </c>
    </row>
    <row r="3" spans="1:6" ht="16.5">
      <c r="B3" t="s">
        <v>12</v>
      </c>
      <c r="C3" t="s">
        <v>13</v>
      </c>
      <c r="D3" s="8">
        <v>101325</v>
      </c>
      <c r="E3" t="s">
        <v>14</v>
      </c>
      <c r="F3" s="7" t="s">
        <v>15</v>
      </c>
    </row>
    <row r="4" spans="1:6" ht="16.5">
      <c r="B4" t="s">
        <v>16</v>
      </c>
      <c r="C4" t="s">
        <v>17</v>
      </c>
      <c r="D4">
        <v>273.14999999999998</v>
      </c>
      <c r="E4" t="s">
        <v>18</v>
      </c>
      <c r="F4" s="7" t="s">
        <v>19</v>
      </c>
    </row>
    <row r="5" spans="1:6">
      <c r="B5" t="s">
        <v>20</v>
      </c>
      <c r="C5" t="s">
        <v>21</v>
      </c>
      <c r="D5">
        <v>8.314622</v>
      </c>
      <c r="E5" t="s">
        <v>22</v>
      </c>
      <c r="F5" s="7" t="s">
        <v>23</v>
      </c>
    </row>
    <row r="6" spans="1:6" ht="16.5">
      <c r="B6" t="s">
        <v>24</v>
      </c>
      <c r="C6" t="s">
        <v>25</v>
      </c>
      <c r="D6">
        <f>T0</f>
        <v>273.14999999999998</v>
      </c>
      <c r="E6" t="s">
        <v>18</v>
      </c>
      <c r="F6" s="7" t="s">
        <v>25</v>
      </c>
    </row>
    <row r="9" spans="1:6" ht="16.5">
      <c r="A9" s="1" t="s">
        <v>26</v>
      </c>
      <c r="B9" t="s">
        <v>27</v>
      </c>
      <c r="C9" s="9" t="s">
        <v>28</v>
      </c>
      <c r="D9">
        <v>1000</v>
      </c>
      <c r="E9" t="s">
        <v>29</v>
      </c>
      <c r="F9" s="7" t="s">
        <v>30</v>
      </c>
    </row>
    <row r="10" spans="1:6" ht="16.5">
      <c r="B10" t="s">
        <v>31</v>
      </c>
      <c r="C10" s="9" t="s">
        <v>32</v>
      </c>
      <c r="D10">
        <v>1E-3</v>
      </c>
      <c r="E10" t="s">
        <v>33</v>
      </c>
      <c r="F10" s="7" t="s">
        <v>34</v>
      </c>
    </row>
    <row r="11" spans="1:6" ht="16.5">
      <c r="B11" t="s">
        <v>35</v>
      </c>
      <c r="C11" s="9" t="s">
        <v>36</v>
      </c>
      <c r="D11">
        <f>dvw/dw</f>
        <v>9.9999999999999995E-7</v>
      </c>
      <c r="E11" t="s">
        <v>37</v>
      </c>
      <c r="F11" s="7" t="s">
        <v>38</v>
      </c>
    </row>
    <row r="12" spans="1:6" ht="16.5">
      <c r="B12" t="s">
        <v>39</v>
      </c>
      <c r="C12" t="s">
        <v>40</v>
      </c>
      <c r="D12">
        <v>4190</v>
      </c>
      <c r="E12" t="s">
        <v>41</v>
      </c>
      <c r="F12" s="7" t="s">
        <v>42</v>
      </c>
    </row>
    <row r="13" spans="1:6">
      <c r="B13" t="s">
        <v>43</v>
      </c>
      <c r="C13" s="9" t="s">
        <v>10</v>
      </c>
      <c r="D13">
        <f>72.75*10^-3</f>
        <v>7.2749999999999995E-2</v>
      </c>
      <c r="E13" t="s">
        <v>44</v>
      </c>
      <c r="F13" s="7" t="s">
        <v>45</v>
      </c>
    </row>
    <row r="14" spans="1:6">
      <c r="B14" t="s">
        <v>46</v>
      </c>
    </row>
    <row r="16" spans="1:6" ht="16.5">
      <c r="A16" s="1" t="s">
        <v>47</v>
      </c>
      <c r="B16" t="s">
        <v>27</v>
      </c>
      <c r="C16" s="9" t="s">
        <v>48</v>
      </c>
      <c r="D16" s="3">
        <f>p0/Ra/T0</f>
        <v>1.2925088064719199</v>
      </c>
      <c r="E16" t="s">
        <v>29</v>
      </c>
      <c r="F16" s="7" t="s">
        <v>49</v>
      </c>
    </row>
    <row r="17" spans="1:6" ht="16.5">
      <c r="B17" t="s">
        <v>31</v>
      </c>
      <c r="C17" s="9" t="s">
        <v>50</v>
      </c>
      <c r="D17">
        <f>17.1*10^-6</f>
        <v>1.7100000000000002E-5</v>
      </c>
      <c r="E17" t="s">
        <v>33</v>
      </c>
      <c r="F17" s="7" t="s">
        <v>51</v>
      </c>
    </row>
    <row r="18" spans="1:6" ht="16.5">
      <c r="B18" t="s">
        <v>35</v>
      </c>
      <c r="C18" s="9" t="s">
        <v>52</v>
      </c>
      <c r="D18" s="10">
        <f>dva/da</f>
        <v>1.3230083937823835E-5</v>
      </c>
      <c r="E18" t="s">
        <v>37</v>
      </c>
      <c r="F18" s="7" t="s">
        <v>53</v>
      </c>
    </row>
    <row r="19" spans="1:6" ht="16.5">
      <c r="B19" t="s">
        <v>39</v>
      </c>
      <c r="C19" t="s">
        <v>54</v>
      </c>
      <c r="D19">
        <v>1005</v>
      </c>
      <c r="E19" t="s">
        <v>41</v>
      </c>
      <c r="F19" s="7" t="s">
        <v>55</v>
      </c>
    </row>
    <row r="20" spans="1:6" ht="16.5">
      <c r="B20" t="s">
        <v>56</v>
      </c>
      <c r="C20" t="s">
        <v>57</v>
      </c>
      <c r="D20">
        <v>287</v>
      </c>
      <c r="E20" t="s">
        <v>41</v>
      </c>
      <c r="F20" s="7" t="s">
        <v>58</v>
      </c>
    </row>
    <row r="22" spans="1:6" ht="16.5">
      <c r="A22" s="1" t="s">
        <v>59</v>
      </c>
      <c r="B22" t="s">
        <v>27</v>
      </c>
      <c r="C22" s="9" t="s">
        <v>60</v>
      </c>
      <c r="D22">
        <v>1500</v>
      </c>
      <c r="E22" t="s">
        <v>29</v>
      </c>
    </row>
    <row r="23" spans="1:6" ht="16.5">
      <c r="B23" t="s">
        <v>31</v>
      </c>
      <c r="C23" s="9" t="s">
        <v>61</v>
      </c>
      <c r="E23" t="s">
        <v>33</v>
      </c>
    </row>
    <row r="24" spans="1:6" ht="16.5">
      <c r="B24" t="s">
        <v>35</v>
      </c>
      <c r="C24" s="9" t="s">
        <v>62</v>
      </c>
      <c r="E24" t="s">
        <v>37</v>
      </c>
    </row>
    <row r="25" spans="1:6" ht="16.5">
      <c r="B25" t="s">
        <v>39</v>
      </c>
      <c r="C25" t="s">
        <v>63</v>
      </c>
      <c r="E25" t="s">
        <v>41</v>
      </c>
    </row>
    <row r="27" spans="1:6" ht="16.5">
      <c r="A27" s="1" t="s">
        <v>64</v>
      </c>
      <c r="B27" t="s">
        <v>27</v>
      </c>
      <c r="C27" s="9" t="s">
        <v>65</v>
      </c>
      <c r="D27">
        <v>1000</v>
      </c>
      <c r="E27" t="s">
        <v>29</v>
      </c>
    </row>
    <row r="28" spans="1:6" ht="16.5">
      <c r="A28" s="11">
        <v>0.04</v>
      </c>
      <c r="B28" t="s">
        <v>31</v>
      </c>
      <c r="C28" s="9" t="s">
        <v>66</v>
      </c>
      <c r="E28" t="s">
        <v>33</v>
      </c>
    </row>
    <row r="29" spans="1:6" ht="16.5">
      <c r="B29" t="s">
        <v>35</v>
      </c>
      <c r="C29" s="9" t="s">
        <v>67</v>
      </c>
      <c r="E29" t="s">
        <v>37</v>
      </c>
    </row>
    <row r="30" spans="1:6" ht="16.5">
      <c r="B30" t="s">
        <v>39</v>
      </c>
      <c r="C30" t="s">
        <v>68</v>
      </c>
      <c r="E30" t="s">
        <v>41</v>
      </c>
    </row>
    <row r="32" spans="1:6" ht="16.5">
      <c r="A32" s="1" t="s">
        <v>69</v>
      </c>
      <c r="B32" t="s">
        <v>27</v>
      </c>
      <c r="C32" s="9" t="s">
        <v>70</v>
      </c>
      <c r="D32">
        <v>1000</v>
      </c>
      <c r="E32" t="s">
        <v>29</v>
      </c>
    </row>
    <row r="33" spans="1:13" ht="16.5">
      <c r="A33" s="11">
        <v>0.04</v>
      </c>
      <c r="B33" t="s">
        <v>31</v>
      </c>
      <c r="C33" s="9" t="s">
        <v>71</v>
      </c>
      <c r="D33" s="2">
        <f>0.13</f>
        <v>0.13</v>
      </c>
      <c r="E33" t="s">
        <v>33</v>
      </c>
    </row>
    <row r="34" spans="1:13" ht="16.5">
      <c r="B34" t="s">
        <v>35</v>
      </c>
      <c r="C34" s="9" t="s">
        <v>72</v>
      </c>
      <c r="D34" s="12">
        <f>D33/D32</f>
        <v>1.3000000000000002E-4</v>
      </c>
      <c r="E34" t="s">
        <v>37</v>
      </c>
    </row>
    <row r="35" spans="1:13" ht="16.5">
      <c r="B35" t="s">
        <v>39</v>
      </c>
      <c r="C35" t="s">
        <v>73</v>
      </c>
      <c r="D35">
        <f>cpw</f>
        <v>4190</v>
      </c>
      <c r="E35" t="s">
        <v>41</v>
      </c>
    </row>
    <row r="37" spans="1:13" ht="16.5">
      <c r="A37" s="1" t="s">
        <v>74</v>
      </c>
      <c r="B37" t="s">
        <v>27</v>
      </c>
      <c r="C37" s="9" t="s">
        <v>75</v>
      </c>
      <c r="D37">
        <v>1500</v>
      </c>
      <c r="E37" t="s">
        <v>29</v>
      </c>
    </row>
    <row r="38" spans="1:13" ht="16.5">
      <c r="B38" t="s">
        <v>31</v>
      </c>
      <c r="C38" s="9" t="s">
        <v>76</v>
      </c>
      <c r="E38" t="s">
        <v>33</v>
      </c>
    </row>
    <row r="39" spans="1:13" ht="16.5">
      <c r="B39" t="s">
        <v>35</v>
      </c>
      <c r="C39" s="9" t="s">
        <v>77</v>
      </c>
      <c r="E39" t="s">
        <v>37</v>
      </c>
    </row>
    <row r="40" spans="1:13" ht="16.5">
      <c r="B40" t="s">
        <v>39</v>
      </c>
      <c r="C40" t="s">
        <v>78</v>
      </c>
      <c r="E40" t="s">
        <v>41</v>
      </c>
    </row>
    <row r="41" spans="1:13">
      <c r="I41" s="1" t="s">
        <v>79</v>
      </c>
    </row>
    <row r="42" spans="1:13">
      <c r="I42" t="s">
        <v>80</v>
      </c>
      <c r="K42" t="s">
        <v>81</v>
      </c>
      <c r="L42" s="13">
        <v>3.785412</v>
      </c>
      <c r="M42" t="s">
        <v>82</v>
      </c>
    </row>
    <row r="43" spans="1:13" ht="16.5">
      <c r="A43" s="1" t="s">
        <v>83</v>
      </c>
      <c r="B43" t="s">
        <v>84</v>
      </c>
      <c r="C43" t="s">
        <v>85</v>
      </c>
      <c r="D43">
        <v>55.5</v>
      </c>
      <c r="E43" t="s">
        <v>86</v>
      </c>
      <c r="F43" s="7" t="s">
        <v>87</v>
      </c>
      <c r="I43" t="s">
        <v>88</v>
      </c>
      <c r="K43" t="s">
        <v>89</v>
      </c>
      <c r="L43" s="5">
        <f>1/L42</f>
        <v>0.26417203728418465</v>
      </c>
      <c r="M43" t="s">
        <v>90</v>
      </c>
    </row>
    <row r="44" spans="1:13" ht="16.5">
      <c r="B44" t="s">
        <v>91</v>
      </c>
      <c r="C44" t="s">
        <v>92</v>
      </c>
      <c r="D44" s="3">
        <v>50.421750000000003</v>
      </c>
      <c r="E44" t="str">
        <f>E43</f>
        <v>[MJ/kg]</v>
      </c>
      <c r="F44" s="7" t="s">
        <v>93</v>
      </c>
      <c r="I44" t="s">
        <v>94</v>
      </c>
      <c r="K44" t="s">
        <v>95</v>
      </c>
      <c r="L44" s="5">
        <v>2.2050000000000001</v>
      </c>
      <c r="M44" t="s">
        <v>96</v>
      </c>
    </row>
    <row r="45" spans="1:13">
      <c r="I45" t="s">
        <v>97</v>
      </c>
      <c r="K45" t="s">
        <v>98</v>
      </c>
      <c r="L45" s="5">
        <f>1/L44</f>
        <v>0.45351473922902491</v>
      </c>
      <c r="M45" t="s">
        <v>99</v>
      </c>
    </row>
    <row r="46" spans="1:13">
      <c r="A46" s="1" t="s">
        <v>100</v>
      </c>
      <c r="B46" t="s">
        <v>101</v>
      </c>
      <c r="C46" t="s">
        <v>102</v>
      </c>
      <c r="D46">
        <f>14/1000</f>
        <v>1.4E-2</v>
      </c>
      <c r="E46" t="s">
        <v>103</v>
      </c>
      <c r="I46" t="s">
        <v>104</v>
      </c>
      <c r="K46" t="s">
        <v>105</v>
      </c>
      <c r="L46" s="5">
        <f>1/L47</f>
        <v>1.3410218586562961</v>
      </c>
      <c r="M46" t="s">
        <v>106</v>
      </c>
    </row>
    <row r="47" spans="1:13">
      <c r="B47" t="s">
        <v>107</v>
      </c>
      <c r="C47" t="s">
        <v>108</v>
      </c>
      <c r="D47" s="5">
        <f>30.97/1000</f>
        <v>3.0969999999999998E-2</v>
      </c>
      <c r="E47" t="s">
        <v>103</v>
      </c>
      <c r="I47" t="s">
        <v>109</v>
      </c>
      <c r="K47" t="s">
        <v>110</v>
      </c>
      <c r="L47" s="5">
        <v>0.74570000000000003</v>
      </c>
      <c r="M47" t="s">
        <v>111</v>
      </c>
    </row>
    <row r="48" spans="1:13">
      <c r="B48" t="s">
        <v>112</v>
      </c>
      <c r="C48" t="s">
        <v>113</v>
      </c>
      <c r="D48">
        <f>16/1000</f>
        <v>1.6E-2</v>
      </c>
      <c r="E48" t="s">
        <v>103</v>
      </c>
      <c r="I48" t="s">
        <v>114</v>
      </c>
      <c r="K48" t="s">
        <v>115</v>
      </c>
      <c r="L48" s="14">
        <f>1/L49</f>
        <v>3.280839895013123</v>
      </c>
      <c r="M48" t="s">
        <v>116</v>
      </c>
    </row>
    <row r="49" spans="2:13">
      <c r="B49" t="s">
        <v>117</v>
      </c>
      <c r="C49" t="s">
        <v>118</v>
      </c>
      <c r="D49" s="14">
        <f>55.85/1000</f>
        <v>5.5850000000000004E-2</v>
      </c>
      <c r="E49" t="s">
        <v>103</v>
      </c>
      <c r="I49" t="s">
        <v>119</v>
      </c>
      <c r="K49" t="s">
        <v>120</v>
      </c>
      <c r="L49" s="5">
        <v>0.30480000000000002</v>
      </c>
      <c r="M49" t="s">
        <v>121</v>
      </c>
    </row>
    <row r="50" spans="2:13">
      <c r="B50" t="s">
        <v>122</v>
      </c>
      <c r="C50" t="s">
        <v>123</v>
      </c>
      <c r="D50">
        <v>3.2099999999999997E-2</v>
      </c>
      <c r="E50" t="s">
        <v>103</v>
      </c>
      <c r="I50" t="s">
        <v>124</v>
      </c>
      <c r="K50" t="s">
        <v>125</v>
      </c>
      <c r="L50" s="5">
        <f>1/L51</f>
        <v>0.94876660341555974</v>
      </c>
      <c r="M50" t="s">
        <v>126</v>
      </c>
    </row>
    <row r="51" spans="2:13">
      <c r="B51" t="s">
        <v>127</v>
      </c>
      <c r="C51" t="str">
        <f>"M_"&amp;B51</f>
        <v>M_C</v>
      </c>
      <c r="D51">
        <f>12/1000</f>
        <v>1.2E-2</v>
      </c>
      <c r="E51" t="s">
        <v>103</v>
      </c>
      <c r="I51" t="s">
        <v>128</v>
      </c>
      <c r="K51" t="s">
        <v>129</v>
      </c>
      <c r="L51">
        <v>1.054</v>
      </c>
      <c r="M51" t="s">
        <v>130</v>
      </c>
    </row>
    <row r="52" spans="2:13">
      <c r="B52" t="s">
        <v>131</v>
      </c>
      <c r="C52" t="str">
        <f t="shared" ref="C52:C62" si="0">"M_"&amp;B52</f>
        <v>M_H</v>
      </c>
      <c r="D52">
        <f>1/1000</f>
        <v>1E-3</v>
      </c>
      <c r="E52" t="s">
        <v>103</v>
      </c>
    </row>
    <row r="53" spans="2:13">
      <c r="B53" t="s">
        <v>132</v>
      </c>
      <c r="C53" t="str">
        <f t="shared" si="0"/>
        <v>M_CH4</v>
      </c>
      <c r="D53">
        <f>D52*4+D51</f>
        <v>1.6E-2</v>
      </c>
      <c r="E53" t="s">
        <v>103</v>
      </c>
    </row>
    <row r="54" spans="2:13">
      <c r="B54" t="s">
        <v>133</v>
      </c>
      <c r="C54" t="str">
        <f t="shared" si="0"/>
        <v>M_H2O</v>
      </c>
      <c r="D54">
        <f>D52*2+D48</f>
        <v>1.8000000000000002E-2</v>
      </c>
      <c r="E54" t="s">
        <v>103</v>
      </c>
    </row>
    <row r="55" spans="2:13">
      <c r="B55" t="s">
        <v>134</v>
      </c>
      <c r="C55" t="str">
        <f t="shared" si="0"/>
        <v>M_CO2</v>
      </c>
      <c r="D55">
        <f>D48*2+D51</f>
        <v>4.3999999999999997E-2</v>
      </c>
      <c r="E55" t="s">
        <v>103</v>
      </c>
    </row>
    <row r="56" spans="2:13" ht="16.5">
      <c r="B56" t="s">
        <v>135</v>
      </c>
      <c r="C56" t="str">
        <f t="shared" si="0"/>
        <v>M_Fe2(SO4)3</v>
      </c>
      <c r="D56" s="5">
        <f>D49*2+(D50+D48*4)*3</f>
        <v>0.4</v>
      </c>
      <c r="E56" t="s">
        <v>103</v>
      </c>
    </row>
    <row r="57" spans="2:13" ht="16.5">
      <c r="B57" t="s">
        <v>136</v>
      </c>
      <c r="C57" t="str">
        <f t="shared" si="0"/>
        <v>M_FePO4</v>
      </c>
      <c r="D57" s="5">
        <f>D49+D47+D48*4</f>
        <v>0.15082000000000001</v>
      </c>
      <c r="E57" t="s">
        <v>103</v>
      </c>
    </row>
    <row r="58" spans="2:13" ht="16.5">
      <c r="B58" t="s">
        <v>137</v>
      </c>
      <c r="C58" t="str">
        <f t="shared" si="0"/>
        <v>M_Fe(OH)3</v>
      </c>
      <c r="D58" s="5">
        <f>D49+(D48+D52)*3</f>
        <v>0.10685</v>
      </c>
      <c r="E58" t="s">
        <v>103</v>
      </c>
    </row>
    <row r="59" spans="2:13" ht="16.5">
      <c r="B59" t="s">
        <v>138</v>
      </c>
      <c r="C59" t="str">
        <f t="shared" si="0"/>
        <v>M_Ca2+</v>
      </c>
      <c r="D59" s="5">
        <f>40.08/1000</f>
        <v>4.0079999999999998E-2</v>
      </c>
      <c r="E59" t="s">
        <v>103</v>
      </c>
    </row>
    <row r="60" spans="2:13">
      <c r="B60" t="s">
        <v>139</v>
      </c>
      <c r="C60" t="str">
        <f t="shared" si="0"/>
        <v>M_Ar</v>
      </c>
      <c r="D60" s="5">
        <v>3.9947999999999997E-2</v>
      </c>
      <c r="E60" t="s">
        <v>103</v>
      </c>
    </row>
    <row r="61" spans="2:13">
      <c r="B61" t="s">
        <v>140</v>
      </c>
      <c r="C61" t="str">
        <f t="shared" si="0"/>
        <v>M_N2</v>
      </c>
      <c r="D61">
        <f>D46*2</f>
        <v>2.8000000000000001E-2</v>
      </c>
      <c r="E61" t="s">
        <v>103</v>
      </c>
    </row>
    <row r="62" spans="2:13">
      <c r="B62" t="s">
        <v>141</v>
      </c>
      <c r="C62" t="str">
        <f t="shared" si="0"/>
        <v>M_O2</v>
      </c>
      <c r="D62">
        <f>D48*2</f>
        <v>3.2000000000000001E-2</v>
      </c>
      <c r="E62" t="s">
        <v>103</v>
      </c>
    </row>
    <row r="67" spans="1:5" ht="16.5">
      <c r="A67" s="1" t="s">
        <v>142</v>
      </c>
      <c r="B67" t="s">
        <v>143</v>
      </c>
      <c r="D67" s="5">
        <v>8.3144621000000001</v>
      </c>
      <c r="E67" t="s">
        <v>22</v>
      </c>
    </row>
    <row r="68" spans="1:5" ht="16.5">
      <c r="B68" t="s">
        <v>144</v>
      </c>
      <c r="D68" s="5">
        <f>D67/(D52*2+D48)</f>
        <v>461.91456111111108</v>
      </c>
      <c r="E68" t="s">
        <v>41</v>
      </c>
    </row>
    <row r="69" spans="1:5" ht="16.5">
      <c r="B69" t="s">
        <v>145</v>
      </c>
      <c r="D69" s="5">
        <f>D67/(D53)</f>
        <v>519.65388125000004</v>
      </c>
      <c r="E69" t="s">
        <v>41</v>
      </c>
    </row>
    <row r="70" spans="1:5" ht="16.5">
      <c r="B70" t="s">
        <v>146</v>
      </c>
      <c r="D70" s="5">
        <f>D67/(D55)</f>
        <v>188.96504772727275</v>
      </c>
      <c r="E70" t="s">
        <v>41</v>
      </c>
    </row>
    <row r="71" spans="1:5" ht="16.5">
      <c r="B71" t="s">
        <v>147</v>
      </c>
      <c r="D71" s="5">
        <f>D67/(D48*2)</f>
        <v>259.82694062500002</v>
      </c>
      <c r="E71" t="s">
        <v>41</v>
      </c>
    </row>
    <row r="72" spans="1:5" ht="16.5">
      <c r="B72" t="s">
        <v>148</v>
      </c>
      <c r="D72" s="4">
        <v>287</v>
      </c>
      <c r="E72" t="s">
        <v>41</v>
      </c>
    </row>
    <row r="73" spans="1:5" ht="16.5">
      <c r="B73" t="s">
        <v>149</v>
      </c>
      <c r="D73" s="4">
        <f>D67/D60</f>
        <v>208.13212426154001</v>
      </c>
      <c r="E73" t="s">
        <v>41</v>
      </c>
    </row>
    <row r="74" spans="1:5" ht="16.5">
      <c r="B74" t="s">
        <v>150</v>
      </c>
      <c r="D74" s="2">
        <f>D67/(D46*2)</f>
        <v>296.94507499999997</v>
      </c>
      <c r="E74" t="str">
        <f>E73</f>
        <v>J/kg.K</v>
      </c>
    </row>
    <row r="77" spans="1:5">
      <c r="A77" s="1" t="s">
        <v>151</v>
      </c>
    </row>
    <row r="78" spans="1:5">
      <c r="A78" t="s">
        <v>152</v>
      </c>
      <c r="B78">
        <v>1.2999999999999999E-3</v>
      </c>
      <c r="C78" t="s">
        <v>153</v>
      </c>
    </row>
    <row r="79" spans="1:5">
      <c r="A79" t="s">
        <v>18</v>
      </c>
      <c r="B79">
        <v>1500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62</vt:i4>
      </vt:variant>
    </vt:vector>
  </HeadingPairs>
  <TitlesOfParts>
    <vt:vector size="67" baseType="lpstr">
      <vt:lpstr>Help</vt:lpstr>
      <vt:lpstr>Curve generation</vt:lpstr>
      <vt:lpstr>Pumpcalibration</vt:lpstr>
      <vt:lpstr>Sumo forms</vt:lpstr>
      <vt:lpstr>Parameter</vt:lpstr>
      <vt:lpstr>bpk</vt:lpstr>
      <vt:lpstr>'Curve generation'!cpa</vt:lpstr>
      <vt:lpstr>cpa</vt:lpstr>
      <vt:lpstr>'Curve generation'!cpw</vt:lpstr>
      <vt:lpstr>cpw</vt:lpstr>
      <vt:lpstr>'Curve generation'!da</vt:lpstr>
      <vt:lpstr>da</vt:lpstr>
      <vt:lpstr>'Curve generation'!dva</vt:lpstr>
      <vt:lpstr>dva</vt:lpstr>
      <vt:lpstr>'Curve generation'!dvw</vt:lpstr>
      <vt:lpstr>dvw</vt:lpstr>
      <vt:lpstr>'Curve generation'!dw</vt:lpstr>
      <vt:lpstr>dw</vt:lpstr>
      <vt:lpstr>fpm</vt:lpstr>
      <vt:lpstr>'Curve generation'!g</vt:lpstr>
      <vt:lpstr>g</vt:lpstr>
      <vt:lpstr>gamma</vt:lpstr>
      <vt:lpstr>gpl</vt:lpstr>
      <vt:lpstr>ho</vt:lpstr>
      <vt:lpstr>hpk</vt:lpstr>
      <vt:lpstr>'Curve generation'!hu</vt:lpstr>
      <vt:lpstr>hu</vt:lpstr>
      <vt:lpstr>kpb</vt:lpstr>
      <vt:lpstr>kph</vt:lpstr>
      <vt:lpstr>kpl</vt:lpstr>
      <vt:lpstr>kva</vt:lpstr>
      <vt:lpstr>'Curve generation'!kvw</vt:lpstr>
      <vt:lpstr>kvw</vt:lpstr>
      <vt:lpstr>lpg</vt:lpstr>
      <vt:lpstr>lpk</vt:lpstr>
      <vt:lpstr>'Curve generation'!M_Ar</vt:lpstr>
      <vt:lpstr>M_Ar</vt:lpstr>
      <vt:lpstr>M_C</vt:lpstr>
      <vt:lpstr>M_Ca2</vt:lpstr>
      <vt:lpstr>M_CH4</vt:lpstr>
      <vt:lpstr>M_CO2</vt:lpstr>
      <vt:lpstr>M_Fe</vt:lpstr>
      <vt:lpstr>M_Fe_OH_3</vt:lpstr>
      <vt:lpstr>M_Fe2_SO4_3</vt:lpstr>
      <vt:lpstr>M_FePO4</vt:lpstr>
      <vt:lpstr>M_H</vt:lpstr>
      <vt:lpstr>'Curve generation'!M_H2O</vt:lpstr>
      <vt:lpstr>M_H2O</vt:lpstr>
      <vt:lpstr>M_N</vt:lpstr>
      <vt:lpstr>'Curve generation'!M_N2</vt:lpstr>
      <vt:lpstr>M_N2</vt:lpstr>
      <vt:lpstr>M_O</vt:lpstr>
      <vt:lpstr>'Curve generation'!M_O2</vt:lpstr>
      <vt:lpstr>M_O2</vt:lpstr>
      <vt:lpstr>M_P</vt:lpstr>
      <vt:lpstr>M_S</vt:lpstr>
      <vt:lpstr>mpf</vt:lpstr>
      <vt:lpstr>'Curve generation'!p0</vt:lpstr>
      <vt:lpstr>p0</vt:lpstr>
      <vt:lpstr>'Curve generation'!Ra</vt:lpstr>
      <vt:lpstr>Ra</vt:lpstr>
      <vt:lpstr>'Curve generation'!Ri</vt:lpstr>
      <vt:lpstr>Ri</vt:lpstr>
      <vt:lpstr>'Curve generation'!T0</vt:lpstr>
      <vt:lpstr>T0</vt:lpstr>
      <vt:lpstr>'Curve generation'!Tst</vt:lpstr>
      <vt:lpstr>Tst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Házi</dc:creator>
  <cp:lastModifiedBy>Ferenc Házi</cp:lastModifiedBy>
  <dcterms:created xsi:type="dcterms:W3CDTF">2020-03-25T08:31:10Z</dcterms:created>
  <dcterms:modified xsi:type="dcterms:W3CDTF">2022-06-14T16:24:47Z</dcterms:modified>
</cp:coreProperties>
</file>